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'Cover'!$D$22</definedName>
    <definedName name="BPM_TC_10" hidden="1">'IS_Hist_TO'!$H$19</definedName>
    <definedName name="BPM_TC_11" hidden="1">'TS_BA'!$C$29</definedName>
    <definedName name="BPM_TC_12" hidden="1">'TS_BA'!$J$12</definedName>
    <definedName name="BPM_TC_13" hidden="1">'TS_BA'!$J$32</definedName>
    <definedName name="BPM_TC_14" hidden="1">'IS_Hist_TA'!$J$7</definedName>
    <definedName name="BPM_TC_15" hidden="1">'IS_Hist_TA'!$J$19</definedName>
    <definedName name="BPM_TC_16" hidden="1">'Fcast_OP_TO'!$J$18</definedName>
    <definedName name="BPM_TC_2" hidden="1">'Cover'!$C$9</definedName>
    <definedName name="BPM_TC_3" hidden="1">'Contents'!$B$1</definedName>
    <definedName name="BPM_TC_4" hidden="1">'Overview_SC'!$C$9</definedName>
    <definedName name="BPM_TC_5" hidden="1">'Notes_SSC'!$C$9</definedName>
    <definedName name="BPM_TC_6" hidden="1">'Notes_BO'!$B$1</definedName>
    <definedName name="BPM_TC_7" hidden="1">'TS_BA'!$B$1</definedName>
    <definedName name="BPM_TC_8" hidden="1">'TS_BA'!$H$10</definedName>
    <definedName name="BPM_TC_9" hidden="1">'IS_Hist_TO'!$B$1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D22" authorId="0">
      <text>
        <r>
          <rPr>
            <b/>
            <sz val="9"/>
            <rFont val="Tahoma"/>
            <family val="2"/>
          </rPr>
          <t>Best Practice Modelling:</t>
        </r>
        <r>
          <rPr>
            <sz val="9"/>
            <rFont val="Tahoma"/>
            <family val="2"/>
          </rPr>
          <t xml:space="preserve">
Communication of workbook purpose in workbook cover sheet notes (BPMS 1-1).</t>
        </r>
      </text>
    </comment>
    <comment ref="C9" authorId="0">
      <text>
        <r>
          <rPr>
            <b/>
            <sz val="9"/>
            <rFont val="Tahoma"/>
            <family val="2"/>
          </rPr>
          <t>Best Practice Modelling:</t>
        </r>
        <r>
          <rPr>
            <sz val="9"/>
            <rFont val="Tahoma"/>
            <family val="2"/>
          </rPr>
          <t xml:space="preserve">
This sheet is a Workbook Cover Sheet
(BPMS 1-3, BPMS 1-4, BPMC 1-1, BPMC 1-2).</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B1" authorId="1">
      <text>
        <r>
          <rPr>
            <b/>
            <sz val="9"/>
            <rFont val="Tahoma"/>
            <family val="2"/>
          </rPr>
          <t>Best Practice Modelling:</t>
        </r>
        <r>
          <rPr>
            <sz val="9"/>
            <rFont val="Tahoma"/>
            <family val="2"/>
          </rPr>
          <t xml:space="preserve">
This sheet is a Blank Assumption Sheet
(BPMS 1-3, BPMS 1-4, BPMC 1-1, BPMC 1-2).</t>
        </r>
      </text>
    </comment>
    <comment ref="H10" authorId="1">
      <text>
        <r>
          <rPr>
            <b/>
            <sz val="9"/>
            <rFont val="Tahoma"/>
            <family val="2"/>
          </rPr>
          <t>Best Practice Modelling:</t>
        </r>
        <r>
          <rPr>
            <sz val="9"/>
            <rFont val="Tahoma"/>
            <family val="2"/>
          </rPr>
          <t xml:space="preserve">
Light grey fill color has been used to identify the sheet as an assumption sheet (BPMS 1-4, BPMC 1-2).</t>
        </r>
      </text>
    </comment>
    <comment ref="C29" authorId="1">
      <text>
        <r>
          <rPr>
            <b/>
            <sz val="9"/>
            <rFont val="Tahoma"/>
            <family val="2"/>
          </rPr>
          <t>Best Practice Modelling:</t>
        </r>
        <r>
          <rPr>
            <sz val="9"/>
            <rFont val="Tahoma"/>
            <family val="2"/>
          </rPr>
          <t xml:space="preserve">
Constant cell content is consistently identified using blue font color
(BPMS 1-6, BPMC 1-3).</t>
        </r>
      </text>
    </comment>
    <comment ref="J12" authorId="1">
      <text>
        <r>
          <rPr>
            <b/>
            <sz val="9"/>
            <rFont val="Tahoma"/>
            <family val="2"/>
          </rPr>
          <t>Best Practice Modelling:</t>
        </r>
        <r>
          <rPr>
            <sz val="9"/>
            <rFont val="Tahoma"/>
            <family val="2"/>
          </rPr>
          <t xml:space="preserve">
Formula cell content is consistently identified using black font color
(BPMS 1-6, BPMC 1-2).</t>
        </r>
      </text>
    </comment>
    <comment ref="J32" authorId="1">
      <text>
        <r>
          <rPr>
            <b/>
            <sz val="9"/>
            <rFont val="Tahoma"/>
            <family val="2"/>
          </rPr>
          <t>Best Practice Modelling:</t>
        </r>
        <r>
          <rPr>
            <sz val="9"/>
            <rFont val="Tahoma"/>
            <family val="2"/>
          </rPr>
          <t xml:space="preserve">
Assumption cell purpose is consistenty identified using white fill color (which stands out clearly on the light grey assumption sheet) (BPMS 1-7, BPMC 1-4).</t>
        </r>
      </text>
    </comment>
  </commentList>
</comments>
</file>

<file path=xl/comments12.xml><?xml version="1.0" encoding="utf-8"?>
<comments xmlns="http://schemas.openxmlformats.org/spreadsheetml/2006/main">
  <authors>
    <author>Best Practice Modelling</author>
  </authors>
  <commentList>
    <comment ref="J19" authorId="0">
      <text>
        <r>
          <rPr>
            <b/>
            <sz val="9"/>
            <rFont val="Tahoma"/>
            <family val="2"/>
          </rPr>
          <t>Best Practice Modelling:</t>
        </r>
        <r>
          <rPr>
            <sz val="9"/>
            <rFont val="Tahoma"/>
            <family val="2"/>
          </rPr>
          <t xml:space="preserve">
Assumption cells should always contain constant cell content
(BPMS 1-9).</t>
        </r>
      </text>
    </comment>
    <comment ref="J7" authorId="0">
      <text>
        <r>
          <rPr>
            <b/>
            <sz val="9"/>
            <rFont val="Tahoma"/>
            <family val="2"/>
          </rPr>
          <t>Best Practice Modelling:</t>
        </r>
        <r>
          <rPr>
            <sz val="9"/>
            <rFont val="Tahoma"/>
            <family val="2"/>
          </rPr>
          <t xml:space="preserve">
Mixed cell content is consistently identified using green font color
(BPMS 1-6, BPMC 1-3, BPMC 1-5).</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Time Series Output Sheet
(BPMS 1-3, BPMS 1-4, BPMC 1-1, BPMC 1-2).</t>
        </r>
      </text>
    </comment>
    <comment ref="H19" authorId="0">
      <text>
        <r>
          <rPr>
            <b/>
            <sz val="9"/>
            <rFont val="Tahoma"/>
            <family val="2"/>
          </rPr>
          <t>Best Practice Modelling:</t>
        </r>
        <r>
          <rPr>
            <sz val="9"/>
            <rFont val="Tahoma"/>
            <family val="2"/>
          </rPr>
          <t xml:space="preserve">
White/no fill color has been used to identify the sheet as a non-assumption (output) sheet
(BPMS 1-4, BPMC 1-2).</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Contents Sheet
(BPMS 1-3, BPMS 1-4, BPMC 1-1, BPMC 1-2).</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J18" authorId="1">
      <text>
        <r>
          <rPr>
            <b/>
            <sz val="9"/>
            <rFont val="Tahoma"/>
            <family val="2"/>
          </rPr>
          <t>Best Practice Modelling:</t>
        </r>
        <r>
          <rPr>
            <sz val="9"/>
            <rFont val="Tahoma"/>
            <family val="2"/>
          </rPr>
          <t xml:space="preserve">
The formula in this row contains a constant (i.e. '0') but '0' is a mixed cell exception so the cells are formatted as formula cell content
(BPMS 1-6, BPMC 1-3, BPMC 1-5).</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sheet is a Section Cover Sheet
(BPMS 1-3, BPMS 1-4, BPMC 1-1, BPMC 1-2).</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sheet is a Sub-Section Cover Sheet
(BPMS 1-3, BPMS 1-4, BPMC 1-1, BPMC 1-2).</t>
        </r>
      </text>
    </comment>
  </commentList>
</comments>
</file>

<file path=xl/comments5.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Blank Output Sheet
(BPMS 1-3, BPMS 1-4, BPMC 1-1, BPMC 1-2).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<sst xmlns="http://schemas.openxmlformats.org/spreadsheetml/2006/main" count="1193" uniqueCount="602">
  <si>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</si>
  <si>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</si>
  <si>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</si>
  <si>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</si>
  <si>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</si>
  <si>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</si>
  <si>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</si>
  <si>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</si>
  <si>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</si>
  <si>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</si>
  <si>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</si>
  <si>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</si>
  <si>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</si>
  <si>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</si>
  <si>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</si>
  <si>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</si>
  <si>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</si>
  <si>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</si>
  <si>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</si>
  <si>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</si>
  <si>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</si>
  <si>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</si>
  <si>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</si>
  <si>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</si>
  <si>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</si>
  <si>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</si>
  <si>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</si>
  <si>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</si>
  <si>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</si>
  <si>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</si>
  <si>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</si>
  <si>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</si>
  <si>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</si>
  <si>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</si>
  <si>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</si>
  <si>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</si>
  <si>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</si>
  <si>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</si>
  <si>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</si>
  <si>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</si>
  <si>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</si>
  <si>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</si>
  <si>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</si>
  <si>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</si>
  <si>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</si>
  <si>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</si>
  <si>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</si>
  <si>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</si>
  <si>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</si>
  <si>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</si>
  <si>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</si>
  <si>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</si>
  <si>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</si>
  <si>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</si>
  <si>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</si>
  <si>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</si>
  <si>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</si>
  <si>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</si>
  <si>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</si>
  <si>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</si>
  <si>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</si>
  <si>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</si>
  <si>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</si>
  <si>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</si>
  <si>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</si>
  <si>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</si>
  <si>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</si>
  <si>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</si>
  <si>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</si>
  <si>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</si>
  <si>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</si>
  <si>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</si>
  <si>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</si>
  <si>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</si>
  <si>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</si>
  <si>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</si>
  <si>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</si>
  <si>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</si>
  <si>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</si>
  <si>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</si>
  <si>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</si>
  <si>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</si>
  <si>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</si>
  <si>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</si>
  <si>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</si>
  <si>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</si>
  <si>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</si>
  <si>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</si>
  <si>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</si>
  <si>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</si>
  <si>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</si>
  <si>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</si>
  <si>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</si>
  <si>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</si>
  <si>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</si>
  <si>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</si>
  <si>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</si>
  <si>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</si>
  <si>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</si>
  <si>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</si>
  <si>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</si>
  <si>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</si>
  <si>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</si>
  <si>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</si>
  <si>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</si>
  <si>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</si>
  <si>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</si>
  <si>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</si>
  <si>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</si>
  <si>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</si>
  <si>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</si>
  <si>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</si>
  <si>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</si>
  <si>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</si>
  <si>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</si>
  <si>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</si>
  <si>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</si>
  <si>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</si>
  <si>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</si>
  <si>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</si>
  <si>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</si>
  <si>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</si>
  <si>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</si>
  <si>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</si>
  <si>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</si>
  <si>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</si>
  <si>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</si>
  <si>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</si>
  <si>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</si>
  <si>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</si>
  <si>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</si>
  <si>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</si>
  <si>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</si>
  <si>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</si>
  <si>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</si>
  <si>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</si>
  <si>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</si>
  <si>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</si>
  <si>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</si>
  <si>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</si>
  <si>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</si>
  <si>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</si>
  <si>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</si>
  <si>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</si>
  <si>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</si>
  <si>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</si>
  <si>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</si>
  <si>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</si>
  <si>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</si>
  <si>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</si>
  <si>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</si>
  <si>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</si>
  <si>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</si>
  <si>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</si>
  <si>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</si>
  <si>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</si>
  <si>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</si>
  <si>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</si>
  <si>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</si>
  <si>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</si>
  <si>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</si>
  <si>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</si>
  <si>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</si>
  <si>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</si>
  <si>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</si>
  <si>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</si>
  <si>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</si>
  <si>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</si>
  <si>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</si>
  <si>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</si>
  <si>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</si>
  <si>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</si>
  <si>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</si>
  <si>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</si>
  <si>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</si>
  <si>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</si>
  <si>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</si>
  <si>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</si>
  <si>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</si>
  <si>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</si>
  <si>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</si>
  <si>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</si>
  <si>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</si>
  <si>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</si>
  <si>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</si>
  <si>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</si>
  <si>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</si>
  <si>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</si>
  <si>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</si>
  <si>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</si>
  <si>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</si>
  <si>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</si>
  <si>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</si>
  <si>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</si>
  <si>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</si>
  <si>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</si>
  <si>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</si>
  <si>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</si>
  <si>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</si>
  <si>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</si>
  <si>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</si>
  <si>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</si>
  <si>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</si>
  <si>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</si>
  <si>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</si>
  <si>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</si>
  <si>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</si>
  <si>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</si>
  <si>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</si>
  <si>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</si>
  <si>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</si>
  <si>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</si>
  <si>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</si>
  <si>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</si>
  <si>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</si>
  <si>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</si>
  <si>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</si>
  <si>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</si>
  <si>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</si>
  <si>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</si>
  <si>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</si>
  <si>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</si>
  <si>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</si>
  <si>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</si>
  <si>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</si>
  <si>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</si>
  <si>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</si>
  <si>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</si>
  <si>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</si>
  <si>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</si>
  <si>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</si>
  <si>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</si>
  <si>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</si>
  <si>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</si>
  <si>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</si>
  <si>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</si>
  <si>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</si>
  <si>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</si>
  <si>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</si>
  <si>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</si>
  <si>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</si>
  <si>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</si>
  <si>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</si>
  <si>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</si>
  <si>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</si>
  <si>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</si>
  <si>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</si>
  <si>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</si>
  <si>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</si>
  <si>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</si>
  <si>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</si>
  <si>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</si>
  <si>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</si>
  <si>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</si>
  <si>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</si>
  <si>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</si>
  <si>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</si>
  <si>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</si>
  <si>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</si>
  <si>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</si>
  <si>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</si>
  <si>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</si>
  <si>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</si>
  <si>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</si>
  <si>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</si>
  <si>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</si>
  <si>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</si>
  <si>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</si>
  <si>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</si>
  <si>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</si>
  <si>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</si>
  <si>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</si>
  <si>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</si>
  <si>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</si>
  <si>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</si>
  <si>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</si>
  <si>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</si>
  <si>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</si>
  <si>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</si>
  <si>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</si>
  <si>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</si>
  <si>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</si>
  <si>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</si>
  <si>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</si>
  <si>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</si>
  <si>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</si>
  <si>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</si>
  <si>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</si>
  <si>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</si>
  <si>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</si>
  <si>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</si>
  <si>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</si>
  <si>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</si>
  <si>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</si>
  <si>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</si>
  <si>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</si>
  <si>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</si>
  <si>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</si>
  <si>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</si>
  <si>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</si>
  <si>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</si>
  <si>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</si>
  <si>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</si>
  <si>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</si>
  <si>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</si>
  <si>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</si>
  <si>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</si>
  <si>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</si>
  <si>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</si>
  <si>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</si>
  <si>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</si>
  <si>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</si>
  <si>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</si>
  <si>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</si>
  <si>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</si>
  <si>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</si>
  <si>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</si>
  <si>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</si>
  <si>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</si>
  <si>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</si>
  <si>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</si>
  <si>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</si>
  <si>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</si>
  <si>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</si>
  <si>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</si>
  <si>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</si>
  <si>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</si>
  <si>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</si>
  <si>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</si>
  <si>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</si>
  <si>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</si>
  <si>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</si>
  <si>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</si>
  <si>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</si>
  <si>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</si>
  <si>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</si>
  <si>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</si>
  <si>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</si>
  <si>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</si>
  <si>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</si>
  <si>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</si>
  <si>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</si>
  <si>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</si>
  <si>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</si>
  <si>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</si>
  <si>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</si>
  <si>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</si>
  <si>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</si>
  <si>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</si>
  <si>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</si>
  <si>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</si>
  <si>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</si>
  <si>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</si>
  <si>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</si>
  <si>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</si>
  <si>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</si>
  <si>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</si>
  <si>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</si>
  <si>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</si>
  <si>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</si>
  <si>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</si>
  <si>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</si>
  <si>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</si>
  <si>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</si>
  <si>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</si>
  <si>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</si>
  <si>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</si>
  <si>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</si>
  <si>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</si>
  <si>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</si>
  <si>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</si>
  <si>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</si>
  <si>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</si>
  <si>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</si>
  <si>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</si>
  <si>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</si>
  <si>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</si>
  <si>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</si>
  <si>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</si>
  <si>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</si>
  <si>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</si>
  <si>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</si>
  <si>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</si>
  <si>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</si>
  <si>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</si>
  <si>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</si>
  <si>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</si>
  <si>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</si>
  <si>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</si>
  <si>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</si>
  <si>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</si>
  <si>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</si>
  <si>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</si>
  <si>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</si>
  <si>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</si>
  <si>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</si>
  <si>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</si>
  <si>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</si>
  <si>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</si>
  <si>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</si>
  <si>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</si>
  <si>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</si>
  <si>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</si>
  <si>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</si>
  <si>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</si>
  <si>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</si>
  <si>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</si>
  <si>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</si>
  <si>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</si>
  <si>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</si>
  <si>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</si>
  <si>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</si>
  <si>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</si>
  <si>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</si>
  <si>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</si>
  <si>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</si>
  <si>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</si>
  <si>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</si>
  <si>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</si>
  <si>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</si>
  <si>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</si>
  <si>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</si>
  <si>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</si>
  <si>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</si>
  <si>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</si>
  <si>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</si>
  <si>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</si>
  <si>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</si>
  <si>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</si>
  <si>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</si>
  <si>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</si>
  <si>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</si>
  <si>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</si>
  <si>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</si>
  <si>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</si>
  <si>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</si>
  <si>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</si>
  <si>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</si>
  <si>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</si>
  <si>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</si>
  <si>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</si>
  <si>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</si>
  <si>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</si>
  <si>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</si>
  <si>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</si>
  <si>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</si>
  <si>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</si>
  <si>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</si>
  <si>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</si>
  <si>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</si>
  <si>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</si>
  <si>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</si>
  <si>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</si>
  <si>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</si>
  <si>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</si>
  <si>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</si>
  <si>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</si>
  <si>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</si>
  <si>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</si>
  <si>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</si>
  <si>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</si>
  <si>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</si>
  <si>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</si>
  <si>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</si>
  <si>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</si>
  <si>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</si>
  <si>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</si>
  <si>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</si>
  <si>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</si>
  <si>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</si>
  <si>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</si>
  <si>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</si>
  <si>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</si>
  <si>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</si>
  <si>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</si>
  <si>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</si>
  <si>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</si>
  <si>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</si>
  <si>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</si>
  <si>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</si>
  <si>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</si>
  <si>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</si>
  <si>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</si>
  <si>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</si>
  <si>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</si>
  <si>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</si>
  <si>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</si>
  <si>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</si>
  <si>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</si>
  <si>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</si>
  <si>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</si>
  <si>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</si>
  <si>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</si>
  <si>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</si>
  <si>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</si>
  <si>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</si>
  <si>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</si>
  <si>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</si>
  <si>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</si>
  <si>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</si>
  <si>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</si>
  <si>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</si>
  <si>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</si>
  <si>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</si>
  <si>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</si>
  <si>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</si>
  <si>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</si>
  <si>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</si>
  <si>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</si>
  <si>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</si>
  <si>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</si>
  <si>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</si>
  <si>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</si>
  <si>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</si>
  <si>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</si>
  <si>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</si>
  <si>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</si>
  <si>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</si>
  <si>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</si>
  <si>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</si>
  <si>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</si>
  <si>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</si>
  <si>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</si>
  <si>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</si>
  <si>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</si>
  <si>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</si>
  <si>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</si>
  <si>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</si>
  <si>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</si>
  <si>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</si>
  <si>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</si>
  <si>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</si>
  <si>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</si>
  <si>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</si>
  <si>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</si>
  <si>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</si>
  <si>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</si>
  <si>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</si>
  <si>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</si>
  <si>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</si>
  <si>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</si>
  <si>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</si>
  <si>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</si>
  <si>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</si>
  <si>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</si>
  <si>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</si>
  <si>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</si>
  <si>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</si>
  <si>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</si>
  <si>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</si>
  <si>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</si>
  <si>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</si>
  <si>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</si>
  <si>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</si>
  <si>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</si>
  <si>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</si>
  <si>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</si>
  <si>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</si>
  <si>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</si>
  <si>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</si>
  <si>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</si>
  <si>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</si>
  <si>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</si>
  <si>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</si>
  <si>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</si>
  <si>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</si>
  <si>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</si>
  <si>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</si>
  <si>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</si>
  <si>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</si>
  <si>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</si>
  <si>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</si>
  <si>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</si>
  <si>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</si>
  <si>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</si>
  <si>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</si>
  <si>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</si>
  <si>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</si>
  <si>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</si>
  <si>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</si>
  <si>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</si>
  <si>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</si>
  <si>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</si>
  <si>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</si>
  <si>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</si>
  <si>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</si>
  <si>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</si>
  <si>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</si>
  <si>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</si>
  <si>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www.bestpracticemodelling.com</t>
  </si>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</sst>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0" applyFill="1" applyAlignment="1">
      <alignment vertical="top"/>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3" fillId="0" borderId="0" xfId="31" applyAlignment="1">
      <alignment horizontal="center"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32667848"/>
        <c:axId val="25575177"/>
      </c:barChart>
      <c:catAx>
        <c:axId val="32667848"/>
        <c:scaling>
          <c:orientation val="minMax"/>
        </c:scaling>
        <c:axPos val="b"/>
        <c:delete val="0"/>
        <c:numFmt formatCode="General" sourceLinked="1"/>
        <c:majorTickMark val="out"/>
        <c:minorTickMark val="none"/>
        <c:tickLblPos val="nextTo"/>
        <c:spPr>
          <a:ln w="3175">
            <a:solidFill>
              <a:srgbClr val="808080"/>
            </a:solidFill>
          </a:ln>
        </c:spPr>
        <c:crossAx val="25575177"/>
        <c:crosses val="autoZero"/>
        <c:auto val="1"/>
        <c:lblOffset val="100"/>
        <c:tickLblSkip val="1"/>
        <c:noMultiLvlLbl val="0"/>
      </c:catAx>
      <c:valAx>
        <c:axId val="25575177"/>
        <c:scaling>
          <c:orientation val="minMax"/>
        </c:scaling>
        <c:axPos val="l"/>
        <c:delete val="0"/>
        <c:numFmt formatCode="General" sourceLinked="1"/>
        <c:majorTickMark val="out"/>
        <c:minorTickMark val="none"/>
        <c:tickLblPos val="nextTo"/>
        <c:spPr>
          <a:ln w="3175">
            <a:solidFill>
              <a:srgbClr val="808080"/>
            </a:solidFill>
          </a:ln>
        </c:spPr>
        <c:crossAx val="32667848"/>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28850002"/>
        <c:axId val="58323427"/>
      </c:barChart>
      <c:catAx>
        <c:axId val="28850002"/>
        <c:scaling>
          <c:orientation val="minMax"/>
        </c:scaling>
        <c:axPos val="b"/>
        <c:delete val="0"/>
        <c:numFmt formatCode="General" sourceLinked="1"/>
        <c:majorTickMark val="out"/>
        <c:minorTickMark val="none"/>
        <c:tickLblPos val="nextTo"/>
        <c:spPr>
          <a:ln w="3175">
            <a:solidFill>
              <a:srgbClr val="808080"/>
            </a:solidFill>
          </a:ln>
        </c:spPr>
        <c:crossAx val="58323427"/>
        <c:crosses val="autoZero"/>
        <c:auto val="1"/>
        <c:lblOffset val="100"/>
        <c:tickLblSkip val="1"/>
        <c:noMultiLvlLbl val="0"/>
      </c:catAx>
      <c:valAx>
        <c:axId val="58323427"/>
        <c:scaling>
          <c:orientation val="minMax"/>
        </c:scaling>
        <c:axPos val="l"/>
        <c:delete val="0"/>
        <c:numFmt formatCode="General" sourceLinked="1"/>
        <c:majorTickMark val="out"/>
        <c:minorTickMark val="none"/>
        <c:tickLblPos val="nextTo"/>
        <c:spPr>
          <a:ln w="3175">
            <a:solidFill>
              <a:srgbClr val="808080"/>
            </a:solidFill>
          </a:ln>
        </c:spPr>
        <c:crossAx val="288500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55148796"/>
        <c:axId val="26577117"/>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55148796"/>
        <c:axId val="26577117"/>
      </c:lineChart>
      <c:catAx>
        <c:axId val="55148796"/>
        <c:scaling>
          <c:orientation val="minMax"/>
        </c:scaling>
        <c:axPos val="b"/>
        <c:delete val="0"/>
        <c:numFmt formatCode="General" sourceLinked="1"/>
        <c:majorTickMark val="out"/>
        <c:minorTickMark val="none"/>
        <c:tickLblPos val="low"/>
        <c:spPr>
          <a:ln w="3175">
            <a:solidFill>
              <a:srgbClr val="808080"/>
            </a:solidFill>
          </a:ln>
        </c:spPr>
        <c:crossAx val="26577117"/>
        <c:crosses val="autoZero"/>
        <c:auto val="1"/>
        <c:lblOffset val="100"/>
        <c:tickLblSkip val="1"/>
        <c:noMultiLvlLbl val="0"/>
      </c:catAx>
      <c:valAx>
        <c:axId val="26577117"/>
        <c:scaling>
          <c:orientation val="minMax"/>
        </c:scaling>
        <c:axPos val="l"/>
        <c:delete val="0"/>
        <c:numFmt formatCode="General" sourceLinked="1"/>
        <c:majorTickMark val="out"/>
        <c:minorTickMark val="none"/>
        <c:tickLblPos val="nextTo"/>
        <c:spPr>
          <a:ln w="3175">
            <a:solidFill>
              <a:srgbClr val="808080"/>
            </a:solidFill>
          </a:ln>
        </c:spPr>
        <c:crossAx val="55148796"/>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37867462"/>
        <c:axId val="5262839"/>
      </c:barChart>
      <c:catAx>
        <c:axId val="37867462"/>
        <c:scaling>
          <c:orientation val="minMax"/>
        </c:scaling>
        <c:axPos val="b"/>
        <c:delete val="0"/>
        <c:numFmt formatCode="General" sourceLinked="1"/>
        <c:majorTickMark val="out"/>
        <c:minorTickMark val="none"/>
        <c:tickLblPos val="nextTo"/>
        <c:spPr>
          <a:ln w="3175">
            <a:solidFill>
              <a:srgbClr val="808080"/>
            </a:solidFill>
          </a:ln>
        </c:spPr>
        <c:crossAx val="5262839"/>
        <c:crosses val="autoZero"/>
        <c:auto val="1"/>
        <c:lblOffset val="100"/>
        <c:tickLblSkip val="1"/>
        <c:noMultiLvlLbl val="0"/>
      </c:catAx>
      <c:valAx>
        <c:axId val="5262839"/>
        <c:scaling>
          <c:orientation val="minMax"/>
        </c:scaling>
        <c:axPos val="l"/>
        <c:delete val="0"/>
        <c:numFmt formatCode="General" sourceLinked="1"/>
        <c:majorTickMark val="out"/>
        <c:minorTickMark val="none"/>
        <c:tickLblPos val="nextTo"/>
        <c:spPr>
          <a:ln w="3175">
            <a:solidFill>
              <a:srgbClr val="808080"/>
            </a:solidFill>
          </a:ln>
        </c:spPr>
        <c:crossAx val="37867462"/>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7365552"/>
        <c:axId val="23636785"/>
      </c:barChart>
      <c:catAx>
        <c:axId val="47365552"/>
        <c:scaling>
          <c:orientation val="minMax"/>
        </c:scaling>
        <c:axPos val="b"/>
        <c:delete val="0"/>
        <c:numFmt formatCode="General" sourceLinked="1"/>
        <c:majorTickMark val="out"/>
        <c:minorTickMark val="none"/>
        <c:tickLblPos val="nextTo"/>
        <c:spPr>
          <a:ln w="3175">
            <a:solidFill>
              <a:srgbClr val="808080"/>
            </a:solidFill>
          </a:ln>
        </c:spPr>
        <c:crossAx val="23636785"/>
        <c:crosses val="autoZero"/>
        <c:auto val="1"/>
        <c:lblOffset val="100"/>
        <c:tickLblSkip val="1"/>
        <c:noMultiLvlLbl val="0"/>
      </c:catAx>
      <c:valAx>
        <c:axId val="23636785"/>
        <c:scaling>
          <c:orientation val="minMax"/>
        </c:scaling>
        <c:axPos val="l"/>
        <c:delete val="0"/>
        <c:numFmt formatCode="General" sourceLinked="1"/>
        <c:majorTickMark val="out"/>
        <c:minorTickMark val="none"/>
        <c:tickLblPos val="nextTo"/>
        <c:spPr>
          <a:ln w="3175">
            <a:solidFill>
              <a:srgbClr val="808080"/>
            </a:solidFill>
          </a:ln>
        </c:spPr>
        <c:crossAx val="47365552"/>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xml" /><Relationship Id="rId3" Type="http://schemas.openxmlformats.org/officeDocument/2006/relationships/vmlDrawing" Target="../drawings/vmlDrawing29.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vmlDrawing" Target="../drawings/vmlDrawing33.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1. General Concepts - Best Practice Model Example"&amp;Err_Chks_Msg&amp;Sens_Chks_Msg&amp;Alt_Chks_Msg</f>
        <v>SMA 1. General Concepts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ustomHeight="1">
      <c r="C23" s="34" t="s">
        <v>202</v>
      </c>
      <c r="D23" s="251" t="s">
        <v>590</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588</v>
      </c>
      <c r="E27" s="5"/>
      <c r="F27" s="5"/>
      <c r="G27" s="5"/>
      <c r="H27" s="5"/>
      <c r="I27" s="5"/>
      <c r="J27" s="5"/>
      <c r="K27" s="5"/>
      <c r="L27" s="5"/>
      <c r="M27" s="5"/>
    </row>
    <row r="28" spans="3:9" ht="10.5">
      <c r="C28" s="34" t="s">
        <v>202</v>
      </c>
      <c r="D28" s="6" t="s">
        <v>459</v>
      </c>
      <c r="H28" s="9" t="str">
        <f>Notes_BO!$B$1</f>
        <v>Model Notes</v>
      </c>
      <c r="I28" s="8"/>
    </row>
    <row r="34" ht="10.5">
      <c r="L34" s="222"/>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4" t="str">
        <f>"Go to "&amp;IS_Hist_TO!$B$1</f>
        <v>Go to Income Statement - Historical Outputs</v>
      </c>
      <c r="D41" s="235"/>
      <c r="E41" s="235"/>
      <c r="F41" s="235"/>
      <c r="G41" s="235"/>
      <c r="H41" s="235"/>
      <c r="I41" s="235"/>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8">
        <f>I22</f>
        <v>5</v>
      </c>
      <c r="K20" s="208">
        <f aca="true" t="shared" si="8" ref="K20:Q20">J22</f>
        <v>7.5</v>
      </c>
      <c r="L20" s="208">
        <f t="shared" si="8"/>
        <v>12.148336900684967</v>
      </c>
      <c r="M20" s="208">
        <f t="shared" si="8"/>
        <v>24.635307976188827</v>
      </c>
      <c r="N20" s="208">
        <f t="shared" si="8"/>
        <v>37.44975211766908</v>
      </c>
      <c r="O20" s="208">
        <f t="shared" si="8"/>
        <v>55.51402032129573</v>
      </c>
      <c r="P20" s="208">
        <f t="shared" si="8"/>
        <v>68.87909835501301</v>
      </c>
      <c r="Q20" s="208">
        <f t="shared" si="8"/>
        <v>82.66671515610169</v>
      </c>
    </row>
    <row r="21" spans="5:17" ht="10.5">
      <c r="E21" s="63" t="s">
        <v>556</v>
      </c>
      <c r="J21" s="219">
        <f>J22-J20</f>
        <v>2.5</v>
      </c>
      <c r="K21" s="219">
        <f aca="true" t="shared" si="9" ref="K21:Q21">K22-K20</f>
        <v>4.648336900684967</v>
      </c>
      <c r="L21" s="219">
        <f t="shared" si="9"/>
        <v>12.48697107550386</v>
      </c>
      <c r="M21" s="219">
        <f t="shared" si="9"/>
        <v>12.814444141480251</v>
      </c>
      <c r="N21" s="219">
        <f t="shared" si="9"/>
        <v>18.064268203626654</v>
      </c>
      <c r="O21" s="219">
        <f t="shared" si="9"/>
        <v>13.365078033717282</v>
      </c>
      <c r="P21" s="219">
        <f t="shared" si="9"/>
        <v>13.787616801088674</v>
      </c>
      <c r="Q21" s="219">
        <f t="shared" si="9"/>
        <v>14.149085792645892</v>
      </c>
    </row>
    <row r="22" spans="4:17" ht="10.5">
      <c r="D22" s="63" t="s">
        <v>488</v>
      </c>
      <c r="I22" s="108">
        <v>5</v>
      </c>
      <c r="J22" s="220">
        <v>7.5</v>
      </c>
      <c r="K22" s="220">
        <v>12.148336900684967</v>
      </c>
      <c r="L22" s="220">
        <v>24.635307976188827</v>
      </c>
      <c r="M22" s="220">
        <v>37.44975211766908</v>
      </c>
      <c r="N22" s="220">
        <v>55.51402032129573</v>
      </c>
      <c r="O22" s="220">
        <v>68.87909835501301</v>
      </c>
      <c r="P22" s="220">
        <v>82.66671515610169</v>
      </c>
      <c r="Q22" s="220">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6">
        <f>I55-SUM(I59:I61)</f>
        <v>0</v>
      </c>
      <c r="J62" s="216">
        <f aca="true" t="shared" si="17" ref="J62:Q62">J55-SUM(J59:J61)</f>
        <v>0</v>
      </c>
      <c r="K62" s="216">
        <f t="shared" si="17"/>
        <v>0</v>
      </c>
      <c r="L62" s="216">
        <f t="shared" si="17"/>
        <v>0</v>
      </c>
      <c r="M62" s="216">
        <f t="shared" si="17"/>
        <v>0</v>
      </c>
      <c r="N62" s="216">
        <f t="shared" si="17"/>
        <v>0</v>
      </c>
      <c r="O62" s="216">
        <f t="shared" si="17"/>
        <v>0</v>
      </c>
      <c r="P62" s="216">
        <f t="shared" si="17"/>
        <v>0</v>
      </c>
      <c r="Q62" s="216">
        <f t="shared" si="17"/>
        <v>0</v>
      </c>
    </row>
    <row r="63" spans="4:17" ht="10.5">
      <c r="D63" s="63" t="s">
        <v>39</v>
      </c>
      <c r="I63" s="208">
        <f>SUM(I61:I62)</f>
        <v>20.347773972602738</v>
      </c>
      <c r="J63" s="208">
        <f aca="true" t="shared" si="18" ref="J63:Q63">SUM(J61:J62)</f>
        <v>22.847773972602738</v>
      </c>
      <c r="K63" s="208">
        <f t="shared" si="18"/>
        <v>30.667930222602777</v>
      </c>
      <c r="L63" s="208">
        <f t="shared" si="18"/>
        <v>46.39952787885275</v>
      </c>
      <c r="M63" s="208">
        <f t="shared" si="18"/>
        <v>62.55285297650897</v>
      </c>
      <c r="N63" s="208">
        <f t="shared" si="18"/>
        <v>79.08157370160663</v>
      </c>
      <c r="O63" s="208">
        <f t="shared" si="18"/>
        <v>95.99649681983172</v>
      </c>
      <c r="P63" s="208">
        <f t="shared" si="18"/>
        <v>113.36557426601246</v>
      </c>
      <c r="Q63" s="208">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8"/>
      <c r="J66" s="218"/>
      <c r="K66" s="218"/>
      <c r="L66" s="218"/>
      <c r="M66" s="218"/>
      <c r="N66" s="218"/>
      <c r="O66" s="218"/>
      <c r="P66" s="218"/>
      <c r="Q66" s="218"/>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3">
        <f>IF(I$12=0,0,IF(ISERROR(I22),1,IF(ROUND(I22,5)&lt;0,1,0)))</f>
        <v>0</v>
      </c>
      <c r="J71" s="223">
        <f>IF(J$12=0,0,IF(ISERROR(J22),1,IF(ROUND(J22,5)&lt;0,1,0)))</f>
        <v>0</v>
      </c>
      <c r="K71" s="223">
        <f aca="true" t="shared" si="23" ref="K71:Q71">IF(K$12=0,0,IF(ISERROR(K22),1,IF(ROUND(K22,5)&lt;0,1,0)))</f>
        <v>0</v>
      </c>
      <c r="L71" s="223">
        <f t="shared" si="23"/>
        <v>0</v>
      </c>
      <c r="M71" s="223">
        <f t="shared" si="23"/>
        <v>0</v>
      </c>
      <c r="N71" s="223">
        <f t="shared" si="23"/>
        <v>0</v>
      </c>
      <c r="O71" s="223">
        <f t="shared" si="23"/>
        <v>0</v>
      </c>
      <c r="P71" s="223">
        <f t="shared" si="23"/>
        <v>0</v>
      </c>
      <c r="Q71" s="223">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4" t="str">
        <f>"Go to "&amp;Alt_Chk_2_Hdg</f>
        <v>Go to Balance Sheet - Historical Outputs</v>
      </c>
      <c r="D75" s="235"/>
      <c r="E75" s="235"/>
      <c r="F75" s="235"/>
      <c r="G75" s="235"/>
      <c r="H75" s="235"/>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4" t="str">
        <f>"Go to "&amp;CFS_Hist_TO!$B$1</f>
        <v>Go to Cash Flow Statement - Historical Outputs</v>
      </c>
      <c r="D53" s="235"/>
      <c r="E53" s="235"/>
      <c r="F53" s="235"/>
      <c r="G53" s="235"/>
      <c r="H53" s="235"/>
      <c r="I53" s="235"/>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1" t="str">
        <f>BS_Hist_TA!$D$23</f>
        <v>Accounts Receivable</v>
      </c>
    </row>
    <row r="32" ht="10.5">
      <c r="I32" s="212">
        <f>TS_Proj_Start_Date</f>
        <v>41275</v>
      </c>
    </row>
    <row r="33" spans="4:9" ht="10.5">
      <c r="D33" s="63" t="s">
        <v>245</v>
      </c>
      <c r="I33" s="213">
        <f ca="1">OFFSET(BS_Hist_TO!$I$23,0,TS_Data_Total_Pers)</f>
        <v>10.764600409836065</v>
      </c>
    </row>
    <row r="34" spans="4:17" ht="10.5">
      <c r="D34" s="63" t="s">
        <v>408</v>
      </c>
      <c r="I34" s="208"/>
      <c r="J34" s="207">
        <v>30</v>
      </c>
      <c r="K34" s="207">
        <v>30</v>
      </c>
      <c r="L34" s="207">
        <v>30</v>
      </c>
      <c r="M34" s="207">
        <v>30</v>
      </c>
      <c r="N34" s="207">
        <v>30</v>
      </c>
      <c r="O34" s="207">
        <v>30</v>
      </c>
      <c r="P34" s="207">
        <v>30</v>
      </c>
      <c r="Q34" s="207">
        <v>30</v>
      </c>
    </row>
    <row r="36" ht="11.25">
      <c r="C36" s="211" t="str">
        <f>BS_Hist_TA!$D$39</f>
        <v>Accounts Payable</v>
      </c>
    </row>
    <row r="37" ht="10.5">
      <c r="I37" s="212">
        <f>TS_Proj_Start_Date</f>
        <v>41275</v>
      </c>
    </row>
    <row r="38" spans="4:9" ht="10.5">
      <c r="D38" s="63" t="s">
        <v>245</v>
      </c>
      <c r="I38" s="213">
        <f ca="1">OFFSET(BS_Hist_TO!$I$39,0,TS_Data_Total_Pers)</f>
        <v>8.39638831967213</v>
      </c>
    </row>
    <row r="39" spans="4:17" ht="10.5">
      <c r="D39" s="63" t="s">
        <v>409</v>
      </c>
      <c r="J39" s="207">
        <v>45</v>
      </c>
      <c r="K39" s="207">
        <v>45</v>
      </c>
      <c r="L39" s="207">
        <v>45</v>
      </c>
      <c r="M39" s="207">
        <v>45</v>
      </c>
      <c r="N39" s="207">
        <v>45</v>
      </c>
      <c r="O39" s="207">
        <v>45</v>
      </c>
      <c r="P39" s="207">
        <v>45</v>
      </c>
      <c r="Q39" s="207">
        <v>45</v>
      </c>
    </row>
    <row r="41" ht="10.5">
      <c r="C41" s="60" t="s">
        <v>203</v>
      </c>
    </row>
    <row r="42" spans="3:4" ht="10.5">
      <c r="C42" s="79">
        <v>1</v>
      </c>
      <c r="D42" s="63" t="s">
        <v>465</v>
      </c>
    </row>
    <row r="45" ht="12.75">
      <c r="B45" s="107" t="s">
        <v>403</v>
      </c>
    </row>
    <row r="47" spans="2:9" ht="12.75">
      <c r="B47" s="107"/>
      <c r="C47" s="211" t="str">
        <f>BS_Hist_TA!$D$29</f>
        <v>Assets</v>
      </c>
      <c r="I47" s="209"/>
    </row>
    <row r="48" ht="10.5">
      <c r="I48" s="212">
        <f>TS_Proj_Start_Date</f>
        <v>41275</v>
      </c>
    </row>
    <row r="49" spans="4:9" ht="10.5">
      <c r="D49" s="63" t="s">
        <v>245</v>
      </c>
      <c r="I49" s="213">
        <f ca="1">OFFSET(BS_Hist_TO!$I$29,0,TS_Data_Total_Pers)</f>
        <v>149.6134375</v>
      </c>
    </row>
    <row r="50" spans="4:17" ht="10.5">
      <c r="D50" s="63" t="s">
        <v>469</v>
      </c>
      <c r="I50" s="208"/>
      <c r="J50" s="62">
        <v>0.9</v>
      </c>
      <c r="K50" s="62">
        <v>0.9</v>
      </c>
      <c r="L50" s="62">
        <v>0.9</v>
      </c>
      <c r="M50" s="62">
        <v>0.9</v>
      </c>
      <c r="N50" s="62">
        <v>0.9</v>
      </c>
      <c r="O50" s="62">
        <v>0.9</v>
      </c>
      <c r="P50" s="62">
        <v>0.9</v>
      </c>
      <c r="Q50" s="62">
        <v>0.9</v>
      </c>
    </row>
    <row r="52" spans="2:9" ht="12.75">
      <c r="B52" s="107"/>
      <c r="C52" s="211" t="str">
        <f>BS_Hist_TA!$D$30</f>
        <v>Intangibles</v>
      </c>
      <c r="I52" s="209"/>
    </row>
    <row r="53" ht="10.5">
      <c r="I53" s="212">
        <f>TS_Proj_Start_Date</f>
        <v>41275</v>
      </c>
    </row>
    <row r="54" spans="4:9" ht="10.5">
      <c r="D54" s="63" t="s">
        <v>245</v>
      </c>
      <c r="I54" s="213">
        <f ca="1">OFFSET(BS_Hist_TO!$I$30,0,TS_Data_Total_Pers)</f>
        <v>17.266796874999997</v>
      </c>
    </row>
    <row r="55" spans="4:17" ht="10.5">
      <c r="D55" s="63" t="s">
        <v>469</v>
      </c>
      <c r="I55" s="208"/>
      <c r="J55" s="62">
        <v>0.25</v>
      </c>
      <c r="K55" s="62">
        <v>0.25</v>
      </c>
      <c r="L55" s="62">
        <v>0.25</v>
      </c>
      <c r="M55" s="62">
        <v>0.25</v>
      </c>
      <c r="N55" s="62">
        <v>0.25</v>
      </c>
      <c r="O55" s="62">
        <v>0.25</v>
      </c>
      <c r="P55" s="62">
        <v>0.25</v>
      </c>
      <c r="Q55" s="62">
        <v>0.25</v>
      </c>
    </row>
    <row r="58" ht="12.75">
      <c r="B58" s="107" t="s">
        <v>404</v>
      </c>
    </row>
    <row r="60" ht="11.25">
      <c r="C60" s="211" t="str">
        <f>BS_Hist_TA!$D$48</f>
        <v>Debt</v>
      </c>
    </row>
    <row r="62" ht="10.5">
      <c r="D62" s="128" t="str">
        <f>"Funds Drawn ("&amp;INDEX(LU_Denom,DD_TS_Denom)&amp;")"</f>
        <v>Funds Drawn ($Millions)</v>
      </c>
    </row>
    <row r="63" ht="10.5">
      <c r="I63" s="212">
        <f>TS_Proj_Start_Date</f>
        <v>41275</v>
      </c>
    </row>
    <row r="64" spans="5:17" ht="10.5">
      <c r="E64" s="63" t="s">
        <v>245</v>
      </c>
      <c r="I64" s="213">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2">
        <f>TS_Proj_Start_Date</f>
        <v>41275</v>
      </c>
    </row>
    <row r="73" spans="5:9" ht="10.5">
      <c r="E73" s="124" t="str">
        <f>"Opening Interest Payable ("&amp;INDEX(LU_Denom,DD_TS_Denom)&amp;")"</f>
        <v>Opening Interest Payable ($Millions)</v>
      </c>
      <c r="I73" s="213">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1" t="str">
        <f>BS_Hist_TA!D59</f>
        <v>Ordinary Equity</v>
      </c>
    </row>
    <row r="81" ht="10.5">
      <c r="D81" s="128" t="str">
        <f>"Ordinary Equity Balances"&amp;" ("&amp;INDEX(LU_Denom,DD_TS_Denom)&amp;")"</f>
        <v>Ordinary Equity Balances ($Millions)</v>
      </c>
    </row>
    <row r="82" ht="10.5">
      <c r="I82" s="212">
        <f>TS_Proj_Start_Date</f>
        <v>41275</v>
      </c>
    </row>
    <row r="83" spans="5:17" ht="10.5">
      <c r="E83" s="63" t="s">
        <v>245</v>
      </c>
      <c r="I83" s="213">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2">
        <f>TS_Proj_Start_Date</f>
        <v>41275</v>
      </c>
    </row>
    <row r="90" spans="5:9" ht="10.5">
      <c r="E90" s="124" t="str">
        <f>"Opening Dividends Payable ("&amp;INDEX(LU_Denom,DD_TS_Denom)&amp;")"</f>
        <v>Opening Dividends Payable ($Millions)</v>
      </c>
      <c r="I90" s="213">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1" t="str">
        <f>BS_Hist_TA!$D$40</f>
        <v>Tax Payable</v>
      </c>
    </row>
    <row r="109" ht="10.5">
      <c r="I109" s="212">
        <f>TS_Proj_Start_Date</f>
        <v>41275</v>
      </c>
    </row>
    <row r="110" spans="4:9" ht="10.5">
      <c r="D110" s="124" t="str">
        <f>"Opening Tax Payable ("&amp;INDEX(LU_Denom,DD_TS_Denom)&amp;")"</f>
        <v>Opening Tax Payable ($Millions)</v>
      </c>
      <c r="I110" s="213">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5"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3">
        <f ca="1">OFFSET(BS_Hist_TO!$I$22,0,TS_Data_Total_Pers)</f>
        <v>24.635307976188827</v>
      </c>
    </row>
    <row r="128" spans="4:9" ht="10.5">
      <c r="D128" s="63"/>
      <c r="I128" s="208"/>
    </row>
    <row r="129" spans="3:9" ht="11.25">
      <c r="C129" s="59" t="s">
        <v>39</v>
      </c>
      <c r="D129" s="63"/>
      <c r="I129" s="208"/>
    </row>
    <row r="130" spans="4:9" ht="10.5">
      <c r="D130" s="63"/>
      <c r="I130" s="208"/>
    </row>
    <row r="131" spans="4:9" ht="10.5">
      <c r="D131" s="63" t="s">
        <v>277</v>
      </c>
      <c r="I131" s="213">
        <f ca="1">OFFSET(BS_Hist_TO!$I$64,0,TS_Data_Total_Pers)</f>
        <v>46.39952787885275</v>
      </c>
    </row>
    <row r="133" spans="3:9" ht="11.25">
      <c r="C133" s="59" t="s">
        <v>546</v>
      </c>
      <c r="I133" s="184" t="s">
        <v>531</v>
      </c>
    </row>
    <row r="134" ht="10.5">
      <c r="I134" s="212">
        <f>TS_Proj_Start_Date</f>
        <v>41275</v>
      </c>
    </row>
    <row r="135" spans="4:17" ht="10.5">
      <c r="D135" s="173" t="str">
        <f>BS_Hist_TA!$D$24</f>
        <v>Other Current Assets</v>
      </c>
      <c r="I135" s="213">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3">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3">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3">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3">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4" t="str">
        <f>IS_Hist_TA!B16</f>
        <v>Income Statement</v>
      </c>
    </row>
    <row r="17" s="22" customFormat="1" ht="10.5"/>
    <row r="18" spans="4:17" s="22" customFormat="1" ht="10.5">
      <c r="D18" s="169" t="str">
        <f>IS_Hist_TA!D18</f>
        <v>Revenue</v>
      </c>
      <c r="J18" s="198">
        <f>IF(J$12=0,0,IS_Hist_TA!J18)</f>
        <v>125</v>
      </c>
      <c r="K18" s="198">
        <f>IF(K$12=0,0,IS_Hist_TA!K18)</f>
        <v>128.125</v>
      </c>
      <c r="L18" s="198">
        <f>IF(L$12=0,0,IS_Hist_TA!L18)</f>
        <v>131.328125</v>
      </c>
      <c r="M18" s="198">
        <f>IF(M$12=0,0,IS_Hist_TA!M18)</f>
        <v>0</v>
      </c>
      <c r="N18" s="198">
        <f>IF(N$12=0,0,IS_Hist_TA!N18)</f>
        <v>0</v>
      </c>
      <c r="O18" s="198">
        <f>IF(O$12=0,0,IS_Hist_TA!O18)</f>
        <v>0</v>
      </c>
      <c r="P18" s="198">
        <f>IF(P$12=0,0,IS_Hist_TA!P18)</f>
        <v>0</v>
      </c>
      <c r="Q18" s="198">
        <f>IF(Q$12=0,0,IS_Hist_TA!Q18)</f>
        <v>0</v>
      </c>
    </row>
    <row r="19" spans="4:17" s="22" customFormat="1" ht="10.5">
      <c r="D19" s="169" t="str">
        <f>IS_Hist_TA!D19</f>
        <v>Cost of Goods Sold</v>
      </c>
      <c r="J19" s="198">
        <f>IF(J$12=0,0,IS_Hist_TA!J19)</f>
        <v>-25</v>
      </c>
      <c r="K19" s="198">
        <f>IF(K$12=0,0,IS_Hist_TA!K19)</f>
        <v>-25.624999999999996</v>
      </c>
      <c r="L19" s="198">
        <f>IF(L$12=0,0,IS_Hist_TA!L19)</f>
        <v>-26.265624999999993</v>
      </c>
      <c r="M19" s="198">
        <f>IF(M$12=0,0,IS_Hist_TA!M19)</f>
        <v>0</v>
      </c>
      <c r="N19" s="198">
        <f>IF(N$12=0,0,IS_Hist_TA!N19)</f>
        <v>0</v>
      </c>
      <c r="O19" s="198">
        <f>IF(O$12=0,0,IS_Hist_TA!O19)</f>
        <v>0</v>
      </c>
      <c r="P19" s="198">
        <f>IF(P$12=0,0,IS_Hist_TA!P19)</f>
        <v>0</v>
      </c>
      <c r="Q19" s="198">
        <f>IF(Q$12=0,0,IS_Hist_TA!Q19)</f>
        <v>0</v>
      </c>
    </row>
    <row r="20" spans="10:17" s="22" customFormat="1" ht="10.5">
      <c r="J20" s="137"/>
      <c r="K20" s="137"/>
      <c r="L20" s="137"/>
      <c r="M20" s="137"/>
      <c r="N20" s="137"/>
      <c r="O20" s="137"/>
      <c r="P20" s="137"/>
      <c r="Q20" s="137"/>
    </row>
    <row r="21" spans="3:17" s="22" customFormat="1" ht="11.25">
      <c r="C21" s="195"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8">
        <f>IF(J$12=0,0,IS_Hist_TA!J23)</f>
        <v>-40</v>
      </c>
      <c r="K23" s="198">
        <f>IF(K$12=0,0,IS_Hist_TA!K23)</f>
        <v>-41</v>
      </c>
      <c r="L23" s="198">
        <f>IF(L$12=0,0,IS_Hist_TA!L23)</f>
        <v>-42.025</v>
      </c>
      <c r="M23" s="198">
        <f>IF(M$12=0,0,IS_Hist_TA!M23)</f>
        <v>0</v>
      </c>
      <c r="N23" s="198">
        <f>IF(N$12=0,0,IS_Hist_TA!N23)</f>
        <v>0</v>
      </c>
      <c r="O23" s="198">
        <f>IF(O$12=0,0,IS_Hist_TA!O23)</f>
        <v>0</v>
      </c>
      <c r="P23" s="198">
        <f>IF(P$12=0,0,IS_Hist_TA!P23)</f>
        <v>0</v>
      </c>
      <c r="Q23" s="198">
        <f>IF(Q$12=0,0,IS_Hist_TA!Q23)</f>
        <v>0</v>
      </c>
    </row>
    <row r="24" spans="10:17" s="22" customFormat="1" ht="10.5">
      <c r="J24" s="137"/>
      <c r="K24" s="137"/>
      <c r="L24" s="137"/>
      <c r="M24" s="137"/>
      <c r="N24" s="137"/>
      <c r="O24" s="137"/>
      <c r="P24" s="137"/>
      <c r="Q24" s="137"/>
    </row>
    <row r="25" spans="3:17" s="22" customFormat="1" ht="11.25">
      <c r="C25" s="195"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8">
        <f>IS_Hist_TA!J27</f>
        <v>-13.5</v>
      </c>
      <c r="K27" s="198">
        <f>IS_Hist_TA!K27</f>
        <v>-13.837499999999999</v>
      </c>
      <c r="L27" s="198">
        <f>IS_Hist_TA!L27</f>
        <v>-14.183437499999997</v>
      </c>
      <c r="M27" s="198">
        <f>IS_Hist_TA!M27</f>
        <v>-14.538023437499994</v>
      </c>
      <c r="N27" s="198">
        <f>IS_Hist_TA!N27</f>
        <v>-14.901474023437492</v>
      </c>
      <c r="O27" s="198">
        <f>IS_Hist_TA!O27</f>
        <v>-15.274010874023428</v>
      </c>
      <c r="P27" s="198">
        <f>IS_Hist_TA!P27</f>
        <v>-15.655861145874013</v>
      </c>
      <c r="Q27" s="198">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8">
        <f>IF(J$12=0,0,IS_Hist_TA!J29)</f>
        <v>-14.125</v>
      </c>
      <c r="K29" s="198">
        <f>IF(K$12=0,0,IS_Hist_TA!K29)</f>
        <v>-14.478124999999999</v>
      </c>
      <c r="L29" s="198">
        <f>IF(L$12=0,0,IS_Hist_TA!L29)</f>
        <v>-14.840078124999996</v>
      </c>
      <c r="M29" s="198">
        <f>IF(M$12=0,0,IS_Hist_TA!M29)</f>
        <v>0</v>
      </c>
      <c r="N29" s="198">
        <f>IF(N$12=0,0,IS_Hist_TA!N29)</f>
        <v>0</v>
      </c>
      <c r="O29" s="198">
        <f>IF(O$12=0,0,IS_Hist_TA!O29)</f>
        <v>0</v>
      </c>
      <c r="P29" s="198">
        <f>IF(P$12=0,0,IS_Hist_TA!P29)</f>
        <v>0</v>
      </c>
      <c r="Q29" s="198">
        <f>IF(Q$12=0,0,IS_Hist_TA!Q29)</f>
        <v>0</v>
      </c>
    </row>
    <row r="30" spans="10:17" s="22" customFormat="1" ht="10.5">
      <c r="J30" s="137"/>
      <c r="K30" s="137"/>
      <c r="L30" s="137"/>
      <c r="M30" s="137"/>
      <c r="N30" s="137"/>
      <c r="O30" s="137"/>
      <c r="P30" s="137"/>
      <c r="Q30" s="137"/>
    </row>
    <row r="31" spans="3:17" s="22" customFormat="1" ht="11.25">
      <c r="C31" s="195"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8">
        <f>IF(J$12=0,0,IS_Hist_TA!J33)</f>
        <v>-3.25</v>
      </c>
      <c r="K33" s="198">
        <f>IF(K$12=0,0,IS_Hist_TA!K33)</f>
        <v>-3.25</v>
      </c>
      <c r="L33" s="198">
        <f>IF(L$12=0,0,IS_Hist_TA!L33)</f>
        <v>-3.25</v>
      </c>
      <c r="M33" s="198">
        <f>IF(M$12=0,0,IS_Hist_TA!M33)</f>
        <v>0</v>
      </c>
      <c r="N33" s="198">
        <f>IF(N$12=0,0,IS_Hist_TA!N33)</f>
        <v>0</v>
      </c>
      <c r="O33" s="198">
        <f>IF(O$12=0,0,IS_Hist_TA!O33)</f>
        <v>0</v>
      </c>
      <c r="P33" s="198">
        <f>IF(P$12=0,0,IS_Hist_TA!P33)</f>
        <v>0</v>
      </c>
      <c r="Q33" s="198">
        <f>IF(Q$12=0,0,IS_Hist_TA!Q33)</f>
        <v>0</v>
      </c>
    </row>
    <row r="34" spans="10:17" s="22" customFormat="1" ht="10.5">
      <c r="J34" s="137"/>
      <c r="K34" s="137"/>
      <c r="L34" s="137"/>
      <c r="M34" s="137"/>
      <c r="N34" s="137"/>
      <c r="O34" s="137"/>
      <c r="P34" s="137"/>
      <c r="Q34" s="137"/>
    </row>
    <row r="35" spans="3:17" s="22" customFormat="1" ht="11.25">
      <c r="C35" s="195"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8">
        <f>IF(J$12=0,0,IS_Hist_TA!J37)</f>
        <v>-12.7875</v>
      </c>
      <c r="K37" s="198">
        <f>IF(K$12=0,0,IS_Hist_TA!K37)</f>
        <v>-13.1315625</v>
      </c>
      <c r="L37" s="198">
        <f>IF(L$12=0,0,IS_Hist_TA!L37)</f>
        <v>-13.4842265625</v>
      </c>
      <c r="M37" s="198">
        <f>IF(M$12=0,0,IS_Hist_TA!M37)</f>
        <v>0</v>
      </c>
      <c r="N37" s="198">
        <f>IF(N$12=0,0,IS_Hist_TA!N37)</f>
        <v>0</v>
      </c>
      <c r="O37" s="198">
        <f>IF(O$12=0,0,IS_Hist_TA!O37)</f>
        <v>0</v>
      </c>
      <c r="P37" s="198">
        <f>IF(P$12=0,0,IS_Hist_TA!P37)</f>
        <v>0</v>
      </c>
      <c r="Q37" s="198">
        <f>IF(Q$12=0,0,IS_Hist_TA!Q37)</f>
        <v>0</v>
      </c>
    </row>
    <row r="38" spans="10:17" s="22" customFormat="1" ht="10.5">
      <c r="J38" s="137"/>
      <c r="K38" s="137"/>
      <c r="L38" s="137"/>
      <c r="M38" s="137"/>
      <c r="N38" s="137"/>
      <c r="O38" s="137"/>
      <c r="P38" s="137"/>
      <c r="Q38" s="137"/>
    </row>
    <row r="39" spans="3:17" s="22" customFormat="1" ht="12.75" thickBot="1">
      <c r="C39" s="196"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3" t="str">
        <f>"Go to "&amp;IS_Hist_TA!$B$1</f>
        <v>Go to Income Statement - Historical Assumptions</v>
      </c>
      <c r="D41" s="236"/>
      <c r="E41" s="236"/>
      <c r="F41" s="236"/>
      <c r="G41" s="236"/>
      <c r="H41" s="236"/>
      <c r="I41" s="236"/>
    </row>
    <row r="42" s="22" customFormat="1" ht="10.5"/>
    <row r="43" s="22" customFormat="1" ht="10.5">
      <c r="C43" s="165" t="str">
        <f>IS_Hist_TA!C43</f>
        <v>Notes</v>
      </c>
    </row>
    <row r="44" spans="3:4" s="22" customFormat="1" ht="10.5">
      <c r="C44" s="197">
        <f>IS_Hist_TA!C44</f>
        <v>1</v>
      </c>
      <c r="D44" s="193" t="str">
        <f>"All revenues and expenses are specified in "&amp;INDEX(LU_Denom,DD_TS_Denom)&amp;"."</f>
        <v>All revenues and expenses are specified in $Millions.</v>
      </c>
    </row>
    <row r="45" spans="3:4" s="22" customFormat="1" ht="10.5">
      <c r="C45" s="197">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1. General Concepts - Best Practice Model Example</v>
      </c>
    </row>
    <row r="3" spans="2:10" ht="10.5">
      <c r="B3" s="250" t="s">
        <v>50</v>
      </c>
      <c r="C3" s="250"/>
      <c r="D3" s="250"/>
      <c r="E3" s="250"/>
      <c r="F3" s="250"/>
      <c r="G3" s="250"/>
      <c r="H3" s="250"/>
      <c r="I3" s="250"/>
      <c r="J3" s="9"/>
    </row>
    <row r="6" spans="1:17" s="19" customFormat="1" ht="12.75">
      <c r="A6" s="103" t="s">
        <v>51</v>
      </c>
      <c r="B6" s="227" t="s">
        <v>52</v>
      </c>
      <c r="C6" s="16"/>
      <c r="D6" s="16"/>
      <c r="E6" s="16"/>
      <c r="F6" s="16"/>
      <c r="G6" s="16"/>
      <c r="H6" s="16"/>
      <c r="I6" s="16"/>
      <c r="J6" s="16"/>
      <c r="K6" s="16"/>
      <c r="L6" s="16"/>
      <c r="M6" s="16"/>
      <c r="N6" s="16"/>
      <c r="O6" s="16"/>
      <c r="P6" s="16"/>
      <c r="Q6" s="228"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9">
        <v>4</v>
      </c>
    </row>
    <row r="9" spans="4:17" ht="11.25">
      <c r="D9" s="247" t="s">
        <v>193</v>
      </c>
      <c r="E9" s="247"/>
      <c r="F9" s="246" t="str">
        <f>Notes_SSC!C9</f>
        <v>Notes</v>
      </c>
      <c r="G9" s="246"/>
      <c r="H9" s="246"/>
      <c r="I9" s="246"/>
      <c r="J9" s="246"/>
      <c r="K9" s="246"/>
      <c r="L9" s="246"/>
      <c r="M9" s="246"/>
      <c r="N9" s="246"/>
      <c r="O9" s="246"/>
      <c r="P9" s="246"/>
      <c r="Q9" s="230">
        <v>5</v>
      </c>
    </row>
    <row r="10" spans="6:17" ht="10.5" outlineLevel="1">
      <c r="F10" s="253" t="s">
        <v>194</v>
      </c>
      <c r="G10" s="253"/>
      <c r="H10" s="254" t="str">
        <f>Notes_BO!B1</f>
        <v>Model Notes</v>
      </c>
      <c r="I10" s="254"/>
      <c r="J10" s="254"/>
      <c r="K10" s="254"/>
      <c r="L10" s="254"/>
      <c r="M10" s="254"/>
      <c r="N10" s="254"/>
      <c r="O10" s="254"/>
      <c r="P10" s="254"/>
      <c r="Q10" s="231">
        <v>6</v>
      </c>
    </row>
    <row r="11" spans="4:17" ht="11.25">
      <c r="D11" s="247" t="s">
        <v>198</v>
      </c>
      <c r="E11" s="247"/>
      <c r="F11" s="246" t="str">
        <f>Keys_SSC!C9</f>
        <v>Keys</v>
      </c>
      <c r="G11" s="246"/>
      <c r="H11" s="246"/>
      <c r="I11" s="246"/>
      <c r="J11" s="246"/>
      <c r="K11" s="246"/>
      <c r="L11" s="246"/>
      <c r="M11" s="246"/>
      <c r="N11" s="246"/>
      <c r="O11" s="246"/>
      <c r="P11" s="246"/>
      <c r="Q11" s="230">
        <v>7</v>
      </c>
    </row>
    <row r="12" spans="6:17" ht="10.5" outlineLevel="1">
      <c r="F12" s="253" t="s">
        <v>194</v>
      </c>
      <c r="G12" s="253"/>
      <c r="H12" s="254" t="str">
        <f>Keys_BO!B1</f>
        <v>Keys</v>
      </c>
      <c r="I12" s="254"/>
      <c r="J12" s="254"/>
      <c r="K12" s="254"/>
      <c r="L12" s="254"/>
      <c r="M12" s="254"/>
      <c r="N12" s="254"/>
      <c r="O12" s="254"/>
      <c r="P12" s="254"/>
      <c r="Q12" s="231">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9">
        <v>11</v>
      </c>
    </row>
    <row r="17" spans="4:17" ht="11.25">
      <c r="D17" s="247" t="s">
        <v>506</v>
      </c>
      <c r="E17" s="247"/>
      <c r="F17" s="246" t="str">
        <f>TS_Ass_SSC!C9</f>
        <v>Time Series Assumptions</v>
      </c>
      <c r="G17" s="246"/>
      <c r="H17" s="246"/>
      <c r="I17" s="246"/>
      <c r="J17" s="246"/>
      <c r="K17" s="246"/>
      <c r="L17" s="246"/>
      <c r="M17" s="246"/>
      <c r="N17" s="246"/>
      <c r="O17" s="246"/>
      <c r="P17" s="246"/>
      <c r="Q17" s="230">
        <v>12</v>
      </c>
    </row>
    <row r="18" spans="6:17" ht="10.5" outlineLevel="1">
      <c r="F18" s="253" t="s">
        <v>194</v>
      </c>
      <c r="G18" s="253"/>
      <c r="H18" s="254" t="str">
        <f>TS_BA!B1</f>
        <v>Time Series Assumptions</v>
      </c>
      <c r="I18" s="254"/>
      <c r="J18" s="254"/>
      <c r="K18" s="254"/>
      <c r="L18" s="254"/>
      <c r="M18" s="254"/>
      <c r="N18" s="254"/>
      <c r="O18" s="254"/>
      <c r="P18" s="254"/>
      <c r="Q18" s="231">
        <v>13</v>
      </c>
    </row>
    <row r="19" spans="4:17" ht="11.25">
      <c r="D19" s="247" t="s">
        <v>508</v>
      </c>
      <c r="E19" s="247"/>
      <c r="F19" s="246" t="str">
        <f>Hist_Ass_SSC!C9</f>
        <v>Historical Assumptions</v>
      </c>
      <c r="G19" s="246"/>
      <c r="H19" s="246"/>
      <c r="I19" s="246"/>
      <c r="J19" s="246"/>
      <c r="K19" s="246"/>
      <c r="L19" s="246"/>
      <c r="M19" s="246"/>
      <c r="N19" s="246"/>
      <c r="O19" s="246"/>
      <c r="P19" s="246"/>
      <c r="Q19" s="230">
        <v>14</v>
      </c>
    </row>
    <row r="20" spans="6:17" ht="10.5" outlineLevel="1">
      <c r="F20" s="253" t="s">
        <v>194</v>
      </c>
      <c r="G20" s="253"/>
      <c r="H20" s="254" t="str">
        <f>IS_Hist_TA!B1</f>
        <v>Income Statement - Historical Assumptions</v>
      </c>
      <c r="I20" s="254"/>
      <c r="J20" s="254"/>
      <c r="K20" s="254"/>
      <c r="L20" s="254"/>
      <c r="M20" s="254"/>
      <c r="N20" s="254"/>
      <c r="O20" s="254"/>
      <c r="P20" s="254"/>
      <c r="Q20" s="231">
        <v>15</v>
      </c>
    </row>
    <row r="21" spans="6:17" ht="10.5" outlineLevel="1">
      <c r="F21" s="253" t="s">
        <v>195</v>
      </c>
      <c r="G21" s="253"/>
      <c r="H21" s="254" t="str">
        <f>BS_Hist_TA!B1</f>
        <v>Balance Sheet - Historical Assumptions</v>
      </c>
      <c r="I21" s="254"/>
      <c r="J21" s="254"/>
      <c r="K21" s="254"/>
      <c r="L21" s="254"/>
      <c r="M21" s="254"/>
      <c r="N21" s="254"/>
      <c r="O21" s="254"/>
      <c r="P21" s="254"/>
      <c r="Q21" s="231">
        <v>16</v>
      </c>
    </row>
    <row r="22" spans="6:17" ht="10.5" outlineLevel="1">
      <c r="F22" s="253" t="s">
        <v>196</v>
      </c>
      <c r="G22" s="253"/>
      <c r="H22" s="254" t="str">
        <f>CFS_Hist_TA!B1</f>
        <v>Cash Flow Statement - Historical Assumptions</v>
      </c>
      <c r="I22" s="254"/>
      <c r="J22" s="254"/>
      <c r="K22" s="254"/>
      <c r="L22" s="254"/>
      <c r="M22" s="254"/>
      <c r="N22" s="254"/>
      <c r="O22" s="254"/>
      <c r="P22" s="254"/>
      <c r="Q22" s="231">
        <v>18</v>
      </c>
    </row>
    <row r="23" spans="4:17" ht="11.25">
      <c r="D23" s="247" t="s">
        <v>524</v>
      </c>
      <c r="E23" s="247"/>
      <c r="F23" s="246" t="str">
        <f>Fcast_Ass_SSC!C9</f>
        <v>Forecast Assumptions</v>
      </c>
      <c r="G23" s="246"/>
      <c r="H23" s="246"/>
      <c r="I23" s="246"/>
      <c r="J23" s="246"/>
      <c r="K23" s="246"/>
      <c r="L23" s="246"/>
      <c r="M23" s="246"/>
      <c r="N23" s="246"/>
      <c r="O23" s="246"/>
      <c r="P23" s="246"/>
      <c r="Q23" s="230">
        <v>20</v>
      </c>
    </row>
    <row r="24" spans="6:17" ht="10.5" outlineLevel="1">
      <c r="F24" s="253" t="s">
        <v>194</v>
      </c>
      <c r="G24" s="253"/>
      <c r="H24" s="254" t="str">
        <f>Fcast_TA!B1</f>
        <v>Forecast Assumptions</v>
      </c>
      <c r="I24" s="254"/>
      <c r="J24" s="254"/>
      <c r="K24" s="254"/>
      <c r="L24" s="254"/>
      <c r="M24" s="254"/>
      <c r="N24" s="254"/>
      <c r="O24" s="254"/>
      <c r="P24" s="254"/>
      <c r="Q24" s="231">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9">
        <v>26</v>
      </c>
    </row>
    <row r="32" spans="4:17" ht="11.25">
      <c r="D32" s="247" t="s">
        <v>510</v>
      </c>
      <c r="E32" s="247"/>
      <c r="F32" s="246" t="str">
        <f>Hist_OP_SSC!C9</f>
        <v>Historical Outputs</v>
      </c>
      <c r="G32" s="246"/>
      <c r="H32" s="246"/>
      <c r="I32" s="246"/>
      <c r="J32" s="246"/>
      <c r="K32" s="246"/>
      <c r="L32" s="246"/>
      <c r="M32" s="246"/>
      <c r="N32" s="246"/>
      <c r="O32" s="246"/>
      <c r="P32" s="246"/>
      <c r="Q32" s="230">
        <v>27</v>
      </c>
    </row>
    <row r="33" spans="6:17" ht="10.5" outlineLevel="1">
      <c r="F33" s="253" t="s">
        <v>194</v>
      </c>
      <c r="G33" s="253"/>
      <c r="H33" s="254" t="str">
        <f>IS_Hist_TO!B1</f>
        <v>Income Statement - Historical Outputs</v>
      </c>
      <c r="I33" s="254"/>
      <c r="J33" s="254"/>
      <c r="K33" s="254"/>
      <c r="L33" s="254"/>
      <c r="M33" s="254"/>
      <c r="N33" s="254"/>
      <c r="O33" s="254"/>
      <c r="P33" s="254"/>
      <c r="Q33" s="231">
        <v>28</v>
      </c>
    </row>
    <row r="34" spans="6:17" ht="10.5" outlineLevel="1">
      <c r="F34" s="253" t="s">
        <v>195</v>
      </c>
      <c r="G34" s="253"/>
      <c r="H34" s="254" t="str">
        <f>BS_Hist_TO!B1</f>
        <v>Balance Sheet - Historical Outputs</v>
      </c>
      <c r="I34" s="254"/>
      <c r="J34" s="254"/>
      <c r="K34" s="254"/>
      <c r="L34" s="254"/>
      <c r="M34" s="254"/>
      <c r="N34" s="254"/>
      <c r="O34" s="254"/>
      <c r="P34" s="254"/>
      <c r="Q34" s="231">
        <v>29</v>
      </c>
    </row>
    <row r="35" spans="6:17" ht="10.5" outlineLevel="1">
      <c r="F35" s="253" t="s">
        <v>196</v>
      </c>
      <c r="G35" s="253"/>
      <c r="H35" s="254" t="str">
        <f>CFS_Hist_TO!B1</f>
        <v>Cash Flow Statement - Historical Outputs</v>
      </c>
      <c r="I35" s="254"/>
      <c r="J35" s="254"/>
      <c r="K35" s="254"/>
      <c r="L35" s="254"/>
      <c r="M35" s="254"/>
      <c r="N35" s="254"/>
      <c r="O35" s="254"/>
      <c r="P35" s="254"/>
      <c r="Q35" s="231">
        <v>31</v>
      </c>
    </row>
    <row r="36" spans="4:17" ht="11.25">
      <c r="D36" s="247" t="s">
        <v>512</v>
      </c>
      <c r="E36" s="247"/>
      <c r="F36" s="246" t="str">
        <f>Fcast_OP_SSC!C9</f>
        <v>Forecast Outputs</v>
      </c>
      <c r="G36" s="246"/>
      <c r="H36" s="246"/>
      <c r="I36" s="246"/>
      <c r="J36" s="246"/>
      <c r="K36" s="246"/>
      <c r="L36" s="246"/>
      <c r="M36" s="246"/>
      <c r="N36" s="246"/>
      <c r="O36" s="246"/>
      <c r="P36" s="246"/>
      <c r="Q36" s="230">
        <v>33</v>
      </c>
    </row>
    <row r="37" spans="6:17" ht="10.5" outlineLevel="1">
      <c r="F37" s="253" t="s">
        <v>194</v>
      </c>
      <c r="G37" s="253"/>
      <c r="H37" s="254" t="str">
        <f>Fcast_OP_TO!B1</f>
        <v>Forecast Outputs</v>
      </c>
      <c r="I37" s="254"/>
      <c r="J37" s="254"/>
      <c r="K37" s="254"/>
      <c r="L37" s="254"/>
      <c r="M37" s="254"/>
      <c r="N37" s="254"/>
      <c r="O37" s="254"/>
      <c r="P37" s="254"/>
      <c r="Q37" s="231">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1">
        <v>41</v>
      </c>
    </row>
    <row r="45" spans="6:17" ht="10.5" outlineLevel="1">
      <c r="F45" s="253" t="s">
        <v>196</v>
      </c>
      <c r="G45" s="253"/>
      <c r="H45" s="254" t="str">
        <f>BS_Fcast_TO!B1</f>
        <v>Balance Sheet - Forecast Outputs</v>
      </c>
      <c r="I45" s="254"/>
      <c r="J45" s="254"/>
      <c r="K45" s="254"/>
      <c r="L45" s="254"/>
      <c r="M45" s="254"/>
      <c r="N45" s="254"/>
      <c r="O45" s="254"/>
      <c r="P45" s="254"/>
      <c r="Q45" s="231">
        <v>42</v>
      </c>
    </row>
    <row r="46" spans="6:17" ht="10.5" outlineLevel="1">
      <c r="F46" s="253" t="s">
        <v>551</v>
      </c>
      <c r="G46" s="253"/>
      <c r="H46" s="254" t="str">
        <f>CFS_Fcast_TO!B1</f>
        <v>Cash Flow Statement - Forecast Outputs</v>
      </c>
      <c r="I46" s="254"/>
      <c r="J46" s="254"/>
      <c r="K46" s="254"/>
      <c r="L46" s="254"/>
      <c r="M46" s="254"/>
      <c r="N46" s="254"/>
      <c r="O46" s="254"/>
      <c r="P46" s="254"/>
      <c r="Q46" s="231">
        <v>44</v>
      </c>
    </row>
    <row r="47" spans="4:17" ht="11.25">
      <c r="D47" s="247" t="s">
        <v>514</v>
      </c>
      <c r="E47" s="247"/>
      <c r="F47" s="246" t="str">
        <f>All_Pers_OP_SSC!C9</f>
        <v>All Periods Outputs</v>
      </c>
      <c r="G47" s="246"/>
      <c r="H47" s="246"/>
      <c r="I47" s="246"/>
      <c r="J47" s="246"/>
      <c r="K47" s="246"/>
      <c r="L47" s="246"/>
      <c r="M47" s="246"/>
      <c r="N47" s="246"/>
      <c r="O47" s="246"/>
      <c r="P47" s="246"/>
      <c r="Q47" s="230">
        <v>47</v>
      </c>
    </row>
    <row r="48" spans="6:17" ht="10.5" outlineLevel="1">
      <c r="F48" s="253" t="s">
        <v>194</v>
      </c>
      <c r="G48" s="253"/>
      <c r="H48" s="254" t="str">
        <f>IS_All_TO!B1</f>
        <v>Income Statement - All Periods Outputs</v>
      </c>
      <c r="I48" s="254"/>
      <c r="J48" s="254"/>
      <c r="K48" s="254"/>
      <c r="L48" s="254"/>
      <c r="M48" s="254"/>
      <c r="N48" s="254"/>
      <c r="O48" s="254"/>
      <c r="P48" s="254"/>
      <c r="Q48" s="231">
        <v>48</v>
      </c>
    </row>
    <row r="49" spans="6:17" ht="10.5" outlineLevel="1">
      <c r="F49" s="253" t="s">
        <v>195</v>
      </c>
      <c r="G49" s="253"/>
      <c r="H49" s="254" t="str">
        <f>BS_All_TO!B1</f>
        <v>Balance Sheet - All Periods Outputs</v>
      </c>
      <c r="I49" s="254"/>
      <c r="J49" s="254"/>
      <c r="K49" s="254"/>
      <c r="L49" s="254"/>
      <c r="M49" s="254"/>
      <c r="N49" s="254"/>
      <c r="O49" s="254"/>
      <c r="P49" s="254"/>
      <c r="Q49" s="231">
        <v>49</v>
      </c>
    </row>
    <row r="50" spans="6:17" ht="10.5" outlineLevel="1">
      <c r="F50" s="253" t="s">
        <v>196</v>
      </c>
      <c r="G50" s="253"/>
      <c r="H50" s="254" t="str">
        <f>CFS_All_TO!B1</f>
        <v>Cash Flow Statement - All Periods Outputs</v>
      </c>
      <c r="I50" s="254"/>
      <c r="J50" s="254"/>
      <c r="K50" s="254"/>
      <c r="L50" s="254"/>
      <c r="M50" s="254"/>
      <c r="N50" s="254"/>
      <c r="O50" s="254"/>
      <c r="P50" s="254"/>
      <c r="Q50" s="231">
        <v>51</v>
      </c>
    </row>
    <row r="51" spans="4:17" ht="11.25">
      <c r="D51" s="247" t="s">
        <v>548</v>
      </c>
      <c r="E51" s="247"/>
      <c r="F51" s="246" t="str">
        <f>Dashboards_SSC!C9</f>
        <v>Dashboard Outputs</v>
      </c>
      <c r="G51" s="246"/>
      <c r="H51" s="246"/>
      <c r="I51" s="246"/>
      <c r="J51" s="246"/>
      <c r="K51" s="246"/>
      <c r="L51" s="246"/>
      <c r="M51" s="246"/>
      <c r="N51" s="246"/>
      <c r="O51" s="246"/>
      <c r="P51" s="246"/>
      <c r="Q51" s="230">
        <v>53</v>
      </c>
    </row>
    <row r="52" spans="6:17" ht="10.5" outlineLevel="1">
      <c r="F52" s="253" t="s">
        <v>194</v>
      </c>
      <c r="G52" s="253"/>
      <c r="H52" s="254" t="str">
        <f>BS_Sum_P_MS!B1</f>
        <v>Business Planning Summary</v>
      </c>
      <c r="I52" s="254"/>
      <c r="J52" s="254"/>
      <c r="K52" s="254"/>
      <c r="L52" s="254"/>
      <c r="M52" s="254"/>
      <c r="N52" s="254"/>
      <c r="O52" s="254"/>
      <c r="P52" s="254"/>
      <c r="Q52" s="231">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9">
        <v>55</v>
      </c>
    </row>
    <row r="54" spans="4:17" ht="11.25">
      <c r="D54" s="247" t="s">
        <v>516</v>
      </c>
      <c r="E54" s="247"/>
      <c r="F54" s="246" t="str">
        <f>Checks_SSC!C9</f>
        <v>Checks</v>
      </c>
      <c r="G54" s="246"/>
      <c r="H54" s="246"/>
      <c r="I54" s="246"/>
      <c r="J54" s="246"/>
      <c r="K54" s="246"/>
      <c r="L54" s="246"/>
      <c r="M54" s="246"/>
      <c r="N54" s="246"/>
      <c r="O54" s="246"/>
      <c r="P54" s="246"/>
      <c r="Q54" s="230">
        <v>56</v>
      </c>
    </row>
    <row r="55" spans="6:17" ht="10.5" outlineLevel="1">
      <c r="F55" s="253" t="s">
        <v>194</v>
      </c>
      <c r="G55" s="253"/>
      <c r="H55" s="254" t="str">
        <f>Checks_BO!B1</f>
        <v>Checks</v>
      </c>
      <c r="I55" s="254"/>
      <c r="J55" s="254"/>
      <c r="K55" s="254"/>
      <c r="L55" s="254"/>
      <c r="M55" s="254"/>
      <c r="N55" s="254"/>
      <c r="O55" s="254"/>
      <c r="P55" s="254"/>
      <c r="Q55" s="231">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30">
        <v>60</v>
      </c>
    </row>
    <row r="60" spans="6:17" ht="10.5" outlineLevel="1">
      <c r="F60" s="253" t="s">
        <v>194</v>
      </c>
      <c r="G60" s="253"/>
      <c r="H60" s="254" t="str">
        <f>TS_LU!B1</f>
        <v>Time Series Lookup Tables</v>
      </c>
      <c r="I60" s="254"/>
      <c r="J60" s="254"/>
      <c r="K60" s="254"/>
      <c r="L60" s="254"/>
      <c r="M60" s="254"/>
      <c r="N60" s="254"/>
      <c r="O60" s="254"/>
      <c r="P60" s="254"/>
      <c r="Q60" s="231">
        <v>61</v>
      </c>
    </row>
    <row r="61" spans="6:17" ht="10.5" outlineLevel="1">
      <c r="F61" s="253" t="s">
        <v>195</v>
      </c>
      <c r="G61" s="253"/>
      <c r="H61" s="254" t="str">
        <f>Capital_LU!B1</f>
        <v>Capital - Lookup Tables</v>
      </c>
      <c r="I61" s="254"/>
      <c r="J61" s="254"/>
      <c r="K61" s="254"/>
      <c r="L61" s="254"/>
      <c r="M61" s="254"/>
      <c r="N61" s="254"/>
      <c r="O61" s="254"/>
      <c r="P61" s="254"/>
      <c r="Q61" s="231">
        <v>64</v>
      </c>
    </row>
    <row r="62" spans="6:17" ht="10.5" outlineLevel="1">
      <c r="F62" s="253" t="s">
        <v>196</v>
      </c>
      <c r="G62" s="253"/>
      <c r="H62" s="254" t="str">
        <f>Dashboards_LU!B1</f>
        <v>Dashboards - Lookup Tables</v>
      </c>
      <c r="I62" s="254"/>
      <c r="J62" s="254"/>
      <c r="K62" s="254"/>
      <c r="L62" s="254"/>
      <c r="M62" s="254"/>
      <c r="N62" s="254"/>
      <c r="O62" s="254"/>
      <c r="P62" s="254"/>
      <c r="Q62" s="231">
        <v>65</v>
      </c>
    </row>
    <row r="64" spans="2:17" ht="16.5" customHeight="1">
      <c r="B64" s="31" t="s">
        <v>570</v>
      </c>
      <c r="Q64" s="232">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rowBreaks count="1" manualBreakCount="1">
    <brk id="30" min="1" max="16" man="1"/>
  </rowBreaks>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4" t="str">
        <f>BS_Hist_TA!B16</f>
        <v>Balance Sheet</v>
      </c>
      <c r="I16" s="205" t="s">
        <v>531</v>
      </c>
    </row>
    <row r="17" s="22" customFormat="1" ht="10.5">
      <c r="I17" s="206">
        <f>TS_Start_Date</f>
        <v>40179</v>
      </c>
    </row>
    <row r="18" s="22" customFormat="1" ht="11.25">
      <c r="C18" s="195"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8">
        <f>IF(ISBLANK(I$12),BS_Hist_TA!I22,IF(I$12=0,0,BS_Hist_TA!I22))</f>
        <v>5</v>
      </c>
      <c r="J22" s="198">
        <f>IF(ISBLANK(J$12),BS_Hist_TA!J22,IF(J$12=0,0,BS_Hist_TA!J22))</f>
        <v>7.5</v>
      </c>
      <c r="K22" s="198">
        <f>IF(ISBLANK(K$12),BS_Hist_TA!K22,IF(K$12=0,0,BS_Hist_TA!K22))</f>
        <v>12.148336900684967</v>
      </c>
      <c r="L22" s="198">
        <f>IF(ISBLANK(L$12),BS_Hist_TA!L22,IF(L$12=0,0,BS_Hist_TA!L22))</f>
        <v>24.635307976188827</v>
      </c>
      <c r="M22" s="198">
        <f>IF(ISBLANK(M$12),BS_Hist_TA!M22,IF(M$12=0,0,BS_Hist_TA!M22))</f>
        <v>0</v>
      </c>
      <c r="N22" s="198">
        <f>IF(ISBLANK(N$12),BS_Hist_TA!N22,IF(N$12=0,0,BS_Hist_TA!N22))</f>
        <v>0</v>
      </c>
      <c r="O22" s="198">
        <f>IF(ISBLANK(O$12),BS_Hist_TA!O22,IF(O$12=0,0,BS_Hist_TA!O22))</f>
        <v>0</v>
      </c>
      <c r="P22" s="198">
        <f>IF(ISBLANK(P$12),BS_Hist_TA!P22,IF(P$12=0,0,BS_Hist_TA!P22))</f>
        <v>0</v>
      </c>
      <c r="Q22" s="198">
        <f>IF(ISBLANK(Q$12),BS_Hist_TA!Q22,IF(Q$12=0,0,BS_Hist_TA!Q22))</f>
        <v>0</v>
      </c>
    </row>
    <row r="23" spans="4:17" s="22" customFormat="1" ht="10.5">
      <c r="D23" s="169" t="str">
        <f>BS_Hist_TA!D23</f>
        <v>Accounts Receivable</v>
      </c>
      <c r="I23" s="198">
        <f>IF(ISBLANK(I$12),BS_Hist_TA!I23,IF(I$12=0,0,BS_Hist_TA!I23))</f>
        <v>10.273972602739725</v>
      </c>
      <c r="J23" s="198">
        <f>IF(ISBLANK(J$12),BS_Hist_TA!J23,IF(J$12=0,0,BS_Hist_TA!J23))</f>
        <v>10.273972602739725</v>
      </c>
      <c r="K23" s="198">
        <f>IF(ISBLANK(K$12),BS_Hist_TA!K23,IF(K$12=0,0,BS_Hist_TA!K23))</f>
        <v>10.530821917808218</v>
      </c>
      <c r="L23" s="198">
        <f>IF(ISBLANK(L$12),BS_Hist_TA!L23,IF(L$12=0,0,BS_Hist_TA!L23))</f>
        <v>10.764600409836065</v>
      </c>
      <c r="M23" s="198">
        <f>IF(ISBLANK(M$12),BS_Hist_TA!M23,IF(M$12=0,0,BS_Hist_TA!M23))</f>
        <v>0</v>
      </c>
      <c r="N23" s="198">
        <f>IF(ISBLANK(N$12),BS_Hist_TA!N23,IF(N$12=0,0,BS_Hist_TA!N23))</f>
        <v>0</v>
      </c>
      <c r="O23" s="198">
        <f>IF(ISBLANK(O$12),BS_Hist_TA!O23,IF(O$12=0,0,BS_Hist_TA!O23))</f>
        <v>0</v>
      </c>
      <c r="P23" s="198">
        <f>IF(ISBLANK(P$12),BS_Hist_TA!P23,IF(P$12=0,0,BS_Hist_TA!P23))</f>
        <v>0</v>
      </c>
      <c r="Q23" s="198">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4">
        <f>I22+SUM(I23:I24)</f>
        <v>18.273972602739725</v>
      </c>
      <c r="J25" s="204">
        <f>J22+SUM(J23:J24)</f>
        <v>20.773972602739725</v>
      </c>
      <c r="K25" s="204">
        <f aca="true" t="shared" si="10" ref="K25:Q25">K22+SUM(K23:K24)</f>
        <v>26.679158818493185</v>
      </c>
      <c r="L25" s="204">
        <f t="shared" si="10"/>
        <v>40.39990838602489</v>
      </c>
      <c r="M25" s="204">
        <f t="shared" si="10"/>
        <v>0</v>
      </c>
      <c r="N25" s="204">
        <f t="shared" si="10"/>
        <v>0</v>
      </c>
      <c r="O25" s="204">
        <f t="shared" si="10"/>
        <v>0</v>
      </c>
      <c r="P25" s="204">
        <f t="shared" si="10"/>
        <v>0</v>
      </c>
      <c r="Q25" s="204">
        <f t="shared" si="10"/>
        <v>0</v>
      </c>
    </row>
    <row r="26" spans="9:17" s="22" customFormat="1" ht="10.5">
      <c r="I26" s="137"/>
      <c r="J26" s="137"/>
      <c r="K26" s="137"/>
      <c r="L26" s="137"/>
      <c r="M26" s="137"/>
      <c r="N26" s="137"/>
      <c r="O26" s="137"/>
      <c r="P26" s="137"/>
      <c r="Q26" s="137"/>
    </row>
    <row r="27" spans="3:17" s="22" customFormat="1" ht="11.25">
      <c r="C27" s="195"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8">
        <f>IF(ISBLANK(I$12),BS_Hist_TA!I29,IF(I$12=0,0,BS_Hist_TA!I29))</f>
        <v>146.5</v>
      </c>
      <c r="J29" s="198">
        <f>IF(ISBLANK(J$12),BS_Hist_TA!J29,IF(J$12=0,0,BS_Hist_TA!J29))</f>
        <v>146.5</v>
      </c>
      <c r="K29" s="198">
        <f>IF(ISBLANK(K$12),BS_Hist_TA!K29,IF(K$12=0,0,BS_Hist_TA!K29))</f>
        <v>148.0375</v>
      </c>
      <c r="L29" s="198">
        <f>IF(ISBLANK(L$12),BS_Hist_TA!L29,IF(L$12=0,0,BS_Hist_TA!L29))</f>
        <v>149.6134375</v>
      </c>
      <c r="M29" s="198">
        <f>IF(ISBLANK(M$12),BS_Hist_TA!M29,IF(M$12=0,0,BS_Hist_TA!M29))</f>
        <v>0</v>
      </c>
      <c r="N29" s="198">
        <f>IF(ISBLANK(N$12),BS_Hist_TA!N29,IF(N$12=0,0,BS_Hist_TA!N29))</f>
        <v>0</v>
      </c>
      <c r="O29" s="198">
        <f>IF(ISBLANK(O$12),BS_Hist_TA!O29,IF(O$12=0,0,BS_Hist_TA!O29))</f>
        <v>0</v>
      </c>
      <c r="P29" s="198">
        <f>IF(ISBLANK(P$12),BS_Hist_TA!P29,IF(P$12=0,0,BS_Hist_TA!P29))</f>
        <v>0</v>
      </c>
      <c r="Q29" s="198">
        <f>IF(ISBLANK(Q$12),BS_Hist_TA!Q29,IF(Q$12=0,0,BS_Hist_TA!Q29))</f>
        <v>0</v>
      </c>
    </row>
    <row r="30" spans="4:17" s="22" customFormat="1" ht="10.5">
      <c r="D30" s="169" t="str">
        <f>BS_Hist_TA!D30</f>
        <v>Intangibles</v>
      </c>
      <c r="I30" s="198">
        <f>IF(ISBLANK(I$12),BS_Hist_TA!I30,IF(I$12=0,0,BS_Hist_TA!I30))</f>
        <v>13.375</v>
      </c>
      <c r="J30" s="198">
        <f>IF(ISBLANK(J$12),BS_Hist_TA!J30,IF(J$12=0,0,BS_Hist_TA!J30))</f>
        <v>13.375</v>
      </c>
      <c r="K30" s="198">
        <f>IF(ISBLANK(K$12),BS_Hist_TA!K30,IF(K$12=0,0,BS_Hist_TA!K30))</f>
        <v>15.296875</v>
      </c>
      <c r="L30" s="198">
        <f>IF(ISBLANK(L$12),BS_Hist_TA!L30,IF(L$12=0,0,BS_Hist_TA!L30))</f>
        <v>17.266796874999997</v>
      </c>
      <c r="M30" s="198">
        <f>IF(ISBLANK(M$12),BS_Hist_TA!M30,IF(M$12=0,0,BS_Hist_TA!M30))</f>
        <v>0</v>
      </c>
      <c r="N30" s="198">
        <f>IF(ISBLANK(N$12),BS_Hist_TA!N30,IF(N$12=0,0,BS_Hist_TA!N30))</f>
        <v>0</v>
      </c>
      <c r="O30" s="198">
        <f>IF(ISBLANK(O$12),BS_Hist_TA!O30,IF(O$12=0,0,BS_Hist_TA!O30))</f>
        <v>0</v>
      </c>
      <c r="P30" s="198">
        <f>IF(ISBLANK(P$12),BS_Hist_TA!P30,IF(P$12=0,0,BS_Hist_TA!P30))</f>
        <v>0</v>
      </c>
      <c r="Q30" s="198">
        <f>IF(ISBLANK(Q$12),BS_Hist_TA!Q30,IF(Q$12=0,0,BS_Hist_TA!Q30))</f>
        <v>0</v>
      </c>
    </row>
    <row r="31" spans="4:17" s="22" customFormat="1" ht="10.5">
      <c r="D31" s="169" t="str">
        <f>BS_Hist_TA!D31</f>
        <v>Deferred Tax Assets</v>
      </c>
      <c r="I31" s="198">
        <f>IF(ISBLANK(I$12),BS_Hist_TA!I31,IF(I$12=0,0,BS_Hist_TA!I31))</f>
        <v>0</v>
      </c>
      <c r="J31" s="198">
        <f>IF(ISBLANK(J$12),BS_Hist_TA!J31,IF(J$12=0,0,BS_Hist_TA!J31))</f>
        <v>0</v>
      </c>
      <c r="K31" s="198">
        <f>IF(ISBLANK(K$12),BS_Hist_TA!K31,IF(K$12=0,0,BS_Hist_TA!K31))</f>
        <v>0</v>
      </c>
      <c r="L31" s="198">
        <f>IF(ISBLANK(L$12),BS_Hist_TA!L31,IF(L$12=0,0,BS_Hist_TA!L31))</f>
        <v>0</v>
      </c>
      <c r="M31" s="198">
        <f>IF(ISBLANK(M$12),BS_Hist_TA!M31,IF(M$12=0,0,BS_Hist_TA!M31))</f>
        <v>0</v>
      </c>
      <c r="N31" s="198">
        <f>IF(ISBLANK(N$12),BS_Hist_TA!N31,IF(N$12=0,0,BS_Hist_TA!N31))</f>
        <v>0</v>
      </c>
      <c r="O31" s="198">
        <f>IF(ISBLANK(O$12),BS_Hist_TA!O31,IF(O$12=0,0,BS_Hist_TA!O31))</f>
        <v>0</v>
      </c>
      <c r="P31" s="198">
        <f>IF(ISBLANK(P$12),BS_Hist_TA!P31,IF(P$12=0,0,BS_Hist_TA!P31))</f>
        <v>0</v>
      </c>
      <c r="Q31" s="198">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4">
        <f>SUM(I29:I32)</f>
        <v>163.875</v>
      </c>
      <c r="J33" s="204">
        <f>SUM(J29:J32)</f>
        <v>163.875</v>
      </c>
      <c r="K33" s="204">
        <f aca="true" t="shared" si="11" ref="K33:Q33">SUM(K29:K32)</f>
        <v>168.334375</v>
      </c>
      <c r="L33" s="204">
        <f t="shared" si="11"/>
        <v>172.880234375</v>
      </c>
      <c r="M33" s="204">
        <f t="shared" si="11"/>
        <v>0</v>
      </c>
      <c r="N33" s="204">
        <f t="shared" si="11"/>
        <v>0</v>
      </c>
      <c r="O33" s="204">
        <f t="shared" si="11"/>
        <v>0</v>
      </c>
      <c r="P33" s="204">
        <f t="shared" si="11"/>
        <v>0</v>
      </c>
      <c r="Q33" s="204">
        <f t="shared" si="11"/>
        <v>0</v>
      </c>
    </row>
    <row r="34" spans="9:17" s="22" customFormat="1" ht="10.5">
      <c r="I34" s="137"/>
      <c r="J34" s="137"/>
      <c r="K34" s="137"/>
      <c r="L34" s="137"/>
      <c r="M34" s="137"/>
      <c r="N34" s="137"/>
      <c r="O34" s="137"/>
      <c r="P34" s="137"/>
      <c r="Q34" s="137"/>
    </row>
    <row r="35" spans="3:17" s="22" customFormat="1" ht="11.25">
      <c r="C35" s="195"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5"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8">
        <f>IF(ISBLANK(I$12),BS_Hist_TA!I39,IF(I$12=0,0,BS_Hist_TA!I39))</f>
        <v>8.013698630136986</v>
      </c>
      <c r="J39" s="198">
        <f>IF(ISBLANK(J$12),BS_Hist_TA!J39,IF(J$12=0,0,BS_Hist_TA!J39))</f>
        <v>8.013698630136986</v>
      </c>
      <c r="K39" s="198">
        <f>IF(ISBLANK(K$12),BS_Hist_TA!K39,IF(K$12=0,0,BS_Hist_TA!K39))</f>
        <v>8.21404109589041</v>
      </c>
      <c r="L39" s="198">
        <f>IF(ISBLANK(L$12),BS_Hist_TA!L39,IF(L$12=0,0,BS_Hist_TA!L39))</f>
        <v>8.39638831967213</v>
      </c>
      <c r="M39" s="198">
        <f>IF(ISBLANK(M$12),BS_Hist_TA!M39,IF(M$12=0,0,BS_Hist_TA!M39))</f>
        <v>0</v>
      </c>
      <c r="N39" s="198">
        <f>IF(ISBLANK(N$12),BS_Hist_TA!N39,IF(N$12=0,0,BS_Hist_TA!N39))</f>
        <v>0</v>
      </c>
      <c r="O39" s="198">
        <f>IF(ISBLANK(O$12),BS_Hist_TA!O39,IF(O$12=0,0,BS_Hist_TA!O39))</f>
        <v>0</v>
      </c>
      <c r="P39" s="198">
        <f>IF(ISBLANK(P$12),BS_Hist_TA!P39,IF(P$12=0,0,BS_Hist_TA!P39))</f>
        <v>0</v>
      </c>
      <c r="Q39" s="198">
        <f>IF(ISBLANK(Q$12),BS_Hist_TA!Q39,IF(Q$12=0,0,BS_Hist_TA!Q39))</f>
        <v>0</v>
      </c>
    </row>
    <row r="40" spans="4:17" s="22" customFormat="1" ht="10.5">
      <c r="D40" s="169" t="str">
        <f>BS_Hist_TA!D40</f>
        <v>Tax Payable</v>
      </c>
      <c r="I40" s="198">
        <f>IF(ISBLANK(I$12),BS_Hist_TA!I40,IF(I$12=0,0,BS_Hist_TA!I40))</f>
        <v>12.787500000000001</v>
      </c>
      <c r="J40" s="198">
        <f>IF(ISBLANK(J$12),BS_Hist_TA!J40,IF(J$12=0,0,BS_Hist_TA!J40))</f>
        <v>12.787500000000001</v>
      </c>
      <c r="K40" s="198">
        <f>IF(ISBLANK(K$12),BS_Hist_TA!K40,IF(K$12=0,0,BS_Hist_TA!K40))</f>
        <v>13.131562500000003</v>
      </c>
      <c r="L40" s="198">
        <f>IF(ISBLANK(L$12),BS_Hist_TA!L40,IF(L$12=0,0,BS_Hist_TA!L40))</f>
        <v>13.484226562500004</v>
      </c>
      <c r="M40" s="198">
        <f>IF(ISBLANK(M$12),BS_Hist_TA!M40,IF(M$12=0,0,BS_Hist_TA!M40))</f>
        <v>0</v>
      </c>
      <c r="N40" s="198">
        <f>IF(ISBLANK(N$12),BS_Hist_TA!N40,IF(N$12=0,0,BS_Hist_TA!N40))</f>
        <v>0</v>
      </c>
      <c r="O40" s="198">
        <f>IF(ISBLANK(O$12),BS_Hist_TA!O40,IF(O$12=0,0,BS_Hist_TA!O40))</f>
        <v>0</v>
      </c>
      <c r="P40" s="198">
        <f>IF(ISBLANK(P$12),BS_Hist_TA!P40,IF(P$12=0,0,BS_Hist_TA!P40))</f>
        <v>0</v>
      </c>
      <c r="Q40" s="198">
        <f>IF(ISBLANK(Q$12),BS_Hist_TA!Q40,IF(Q$12=0,0,BS_Hist_TA!Q40))</f>
        <v>0</v>
      </c>
    </row>
    <row r="41" spans="4:17" s="22" customFormat="1" ht="10.5">
      <c r="D41" s="169" t="str">
        <f>BS_Hist_TA!D41</f>
        <v>Interest Payable</v>
      </c>
      <c r="I41" s="198">
        <f>IF(ISBLANK(I$12),BS_Hist_TA!I41,IF(I$12=0,0,BS_Hist_TA!I41))</f>
        <v>0</v>
      </c>
      <c r="J41" s="198">
        <f>IF(ISBLANK(J$12),BS_Hist_TA!J41,IF(J$12=0,0,BS_Hist_TA!J41))</f>
        <v>0</v>
      </c>
      <c r="K41" s="198">
        <f>IF(ISBLANK(K$12),BS_Hist_TA!K41,IF(K$12=0,0,BS_Hist_TA!K41))</f>
        <v>0</v>
      </c>
      <c r="L41" s="198">
        <f>IF(ISBLANK(L$12),BS_Hist_TA!L41,IF(L$12=0,0,BS_Hist_TA!L41))</f>
        <v>0</v>
      </c>
      <c r="M41" s="198">
        <f>IF(ISBLANK(M$12),BS_Hist_TA!M41,IF(M$12=0,0,BS_Hist_TA!M41))</f>
        <v>0</v>
      </c>
      <c r="N41" s="198">
        <f>IF(ISBLANK(N$12),BS_Hist_TA!N41,IF(N$12=0,0,BS_Hist_TA!N41))</f>
        <v>0</v>
      </c>
      <c r="O41" s="198">
        <f>IF(ISBLANK(O$12),BS_Hist_TA!O41,IF(O$12=0,0,BS_Hist_TA!O41))</f>
        <v>0</v>
      </c>
      <c r="P41" s="198">
        <f>IF(ISBLANK(P$12),BS_Hist_TA!P41,IF(P$12=0,0,BS_Hist_TA!P41))</f>
        <v>0</v>
      </c>
      <c r="Q41" s="198">
        <f>IF(ISBLANK(Q$12),BS_Hist_TA!Q41,IF(Q$12=0,0,BS_Hist_TA!Q41))</f>
        <v>0</v>
      </c>
    </row>
    <row r="42" spans="4:17" s="22" customFormat="1" ht="10.5">
      <c r="D42" s="169" t="str">
        <f>BS_Hist_TA!D42</f>
        <v>Ordinary Equity Dividends Payable</v>
      </c>
      <c r="I42" s="198">
        <f>IF(ISBLANK(I$12),BS_Hist_TA!I42,IF(I$12=0,0,BS_Hist_TA!I42))</f>
        <v>0</v>
      </c>
      <c r="J42" s="198">
        <f>IF(ISBLANK(J$12),BS_Hist_TA!J42,IF(J$12=0,0,BS_Hist_TA!J42))</f>
        <v>0</v>
      </c>
      <c r="K42" s="198">
        <f>IF(ISBLANK(K$12),BS_Hist_TA!K42,IF(K$12=0,0,BS_Hist_TA!K42))</f>
        <v>0</v>
      </c>
      <c r="L42" s="198">
        <f>IF(ISBLANK(L$12),BS_Hist_TA!L42,IF(L$12=0,0,BS_Hist_TA!L42))</f>
        <v>0</v>
      </c>
      <c r="M42" s="198">
        <f>IF(ISBLANK(M$12),BS_Hist_TA!M42,IF(M$12=0,0,BS_Hist_TA!M42))</f>
        <v>0</v>
      </c>
      <c r="N42" s="198">
        <f>IF(ISBLANK(N$12),BS_Hist_TA!N42,IF(N$12=0,0,BS_Hist_TA!N42))</f>
        <v>0</v>
      </c>
      <c r="O42" s="198">
        <f>IF(ISBLANK(O$12),BS_Hist_TA!O42,IF(O$12=0,0,BS_Hist_TA!O42))</f>
        <v>0</v>
      </c>
      <c r="P42" s="198">
        <f>IF(ISBLANK(P$12),BS_Hist_TA!P42,IF(P$12=0,0,BS_Hist_TA!P42))</f>
        <v>0</v>
      </c>
      <c r="Q42" s="198">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4">
        <f>SUM(I39:I43)</f>
        <v>25.801198630136987</v>
      </c>
      <c r="J44" s="204">
        <f>SUM(J39:J43)</f>
        <v>25.801198630136987</v>
      </c>
      <c r="K44" s="204">
        <f aca="true" t="shared" si="13" ref="K44:Q44">SUM(K39:K43)</f>
        <v>27.345603595890413</v>
      </c>
      <c r="L44" s="204">
        <f t="shared" si="13"/>
        <v>28.880614882172132</v>
      </c>
      <c r="M44" s="204">
        <f t="shared" si="13"/>
        <v>0</v>
      </c>
      <c r="N44" s="204">
        <f t="shared" si="13"/>
        <v>0</v>
      </c>
      <c r="O44" s="204">
        <f t="shared" si="13"/>
        <v>0</v>
      </c>
      <c r="P44" s="204">
        <f t="shared" si="13"/>
        <v>0</v>
      </c>
      <c r="Q44" s="204">
        <f t="shared" si="13"/>
        <v>0</v>
      </c>
    </row>
    <row r="45" spans="9:17" s="22" customFormat="1" ht="10.5">
      <c r="I45" s="137"/>
      <c r="J45" s="137"/>
      <c r="K45" s="137"/>
      <c r="L45" s="137"/>
      <c r="M45" s="137"/>
      <c r="N45" s="137"/>
      <c r="O45" s="137"/>
      <c r="P45" s="137"/>
      <c r="Q45" s="137"/>
    </row>
    <row r="46" spans="3:17" s="22" customFormat="1" ht="11.25">
      <c r="C46" s="195"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8">
        <f>IF(ISBLANK(I$12),BS_Hist_TA!I48,IF(I$12=0,0,BS_Hist_TA!I48))</f>
        <v>50</v>
      </c>
      <c r="J48" s="198">
        <f>IF(ISBLANK(J$12),BS_Hist_TA!J48,IF(J$12=0,0,BS_Hist_TA!J48))</f>
        <v>50</v>
      </c>
      <c r="K48" s="198">
        <f>IF(ISBLANK(K$12),BS_Hist_TA!K48,IF(K$12=0,0,BS_Hist_TA!K48))</f>
        <v>50</v>
      </c>
      <c r="L48" s="198">
        <f>IF(ISBLANK(L$12),BS_Hist_TA!L48,IF(L$12=0,0,BS_Hist_TA!L48))</f>
        <v>50</v>
      </c>
      <c r="M48" s="198">
        <f>IF(ISBLANK(M$12),BS_Hist_TA!M48,IF(M$12=0,0,BS_Hist_TA!M48))</f>
        <v>0</v>
      </c>
      <c r="N48" s="198">
        <f>IF(ISBLANK(N$12),BS_Hist_TA!N48,IF(N$12=0,0,BS_Hist_TA!N48))</f>
        <v>0</v>
      </c>
      <c r="O48" s="198">
        <f>IF(ISBLANK(O$12),BS_Hist_TA!O48,IF(O$12=0,0,BS_Hist_TA!O48))</f>
        <v>0</v>
      </c>
      <c r="P48" s="198">
        <f>IF(ISBLANK(P$12),BS_Hist_TA!P48,IF(P$12=0,0,BS_Hist_TA!P48))</f>
        <v>0</v>
      </c>
      <c r="Q48" s="198">
        <f>IF(ISBLANK(Q$12),BS_Hist_TA!Q48,IF(Q$12=0,0,BS_Hist_TA!Q48))</f>
        <v>0</v>
      </c>
    </row>
    <row r="49" spans="4:17" s="22" customFormat="1" ht="10.5">
      <c r="D49" s="169" t="str">
        <f>BS_Hist_TA!D49</f>
        <v>Deferred Tax Liabilities</v>
      </c>
      <c r="I49" s="198">
        <f>IF(ISBLANK(I$12),BS_Hist_TA!I49,IF(I$12=0,0,BS_Hist_TA!I49))</f>
        <v>0</v>
      </c>
      <c r="J49" s="198">
        <f>IF(ISBLANK(J$12),BS_Hist_TA!J49,IF(J$12=0,0,BS_Hist_TA!J49))</f>
        <v>0</v>
      </c>
      <c r="K49" s="198">
        <f>IF(ISBLANK(K$12),BS_Hist_TA!K49,IF(K$12=0,0,BS_Hist_TA!K49))</f>
        <v>0</v>
      </c>
      <c r="L49" s="198">
        <f>IF(ISBLANK(L$12),BS_Hist_TA!L49,IF(L$12=0,0,BS_Hist_TA!L49))</f>
        <v>0</v>
      </c>
      <c r="M49" s="198">
        <f>IF(ISBLANK(M$12),BS_Hist_TA!M49,IF(M$12=0,0,BS_Hist_TA!M49))</f>
        <v>0</v>
      </c>
      <c r="N49" s="198">
        <f>IF(ISBLANK(N$12),BS_Hist_TA!N49,IF(N$12=0,0,BS_Hist_TA!N49))</f>
        <v>0</v>
      </c>
      <c r="O49" s="198">
        <f>IF(ISBLANK(O$12),BS_Hist_TA!O49,IF(O$12=0,0,BS_Hist_TA!O49))</f>
        <v>0</v>
      </c>
      <c r="P49" s="198">
        <f>IF(ISBLANK(P$12),BS_Hist_TA!P49,IF(P$12=0,0,BS_Hist_TA!P49))</f>
        <v>0</v>
      </c>
      <c r="Q49" s="198">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4">
        <f>SUM(I48:I50)</f>
        <v>56</v>
      </c>
      <c r="J51" s="204">
        <f>SUM(J48:J50)</f>
        <v>56</v>
      </c>
      <c r="K51" s="204">
        <f aca="true" t="shared" si="14" ref="K51:Q51">SUM(K48:K50)</f>
        <v>57</v>
      </c>
      <c r="L51" s="204">
        <f t="shared" si="14"/>
        <v>58</v>
      </c>
      <c r="M51" s="204">
        <f t="shared" si="14"/>
        <v>0</v>
      </c>
      <c r="N51" s="204">
        <f t="shared" si="14"/>
        <v>0</v>
      </c>
      <c r="O51" s="204">
        <f t="shared" si="14"/>
        <v>0</v>
      </c>
      <c r="P51" s="204">
        <f t="shared" si="14"/>
        <v>0</v>
      </c>
      <c r="Q51" s="204">
        <f t="shared" si="14"/>
        <v>0</v>
      </c>
    </row>
    <row r="52" spans="9:17" s="22" customFormat="1" ht="10.5">
      <c r="I52" s="137"/>
      <c r="J52" s="137"/>
      <c r="K52" s="137"/>
      <c r="L52" s="137"/>
      <c r="M52" s="137"/>
      <c r="N52" s="137"/>
      <c r="O52" s="137"/>
      <c r="P52" s="137"/>
      <c r="Q52" s="137"/>
    </row>
    <row r="53" spans="3:17" s="22" customFormat="1" ht="11.25">
      <c r="C53" s="195"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5"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5"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8">
        <f>IF(ISBLANK(I$12),BS_Hist_TA!I59,IF(I$12=0,0,BS_Hist_TA!I59))</f>
        <v>75</v>
      </c>
      <c r="J59" s="198">
        <f>IF(ISBLANK(J$12),BS_Hist_TA!J59,IF(J$12=0,0,BS_Hist_TA!J59))</f>
        <v>75</v>
      </c>
      <c r="K59" s="198">
        <f>IF(ISBLANK(K$12),BS_Hist_TA!K59,IF(K$12=0,0,BS_Hist_TA!K59))</f>
        <v>75</v>
      </c>
      <c r="L59" s="198">
        <f>IF(ISBLANK(L$12),BS_Hist_TA!L59,IF(L$12=0,0,BS_Hist_TA!L59))</f>
        <v>75</v>
      </c>
      <c r="M59" s="198">
        <f>IF(ISBLANK(M$12),BS_Hist_TA!M59,IF(M$12=0,0,BS_Hist_TA!M59))</f>
        <v>0</v>
      </c>
      <c r="N59" s="198">
        <f>IF(ISBLANK(N$12),BS_Hist_TA!N59,IF(N$12=0,0,BS_Hist_TA!N59))</f>
        <v>0</v>
      </c>
      <c r="O59" s="198">
        <f>IF(ISBLANK(O$12),BS_Hist_TA!O59,IF(O$12=0,0,BS_Hist_TA!O59))</f>
        <v>0</v>
      </c>
      <c r="P59" s="198">
        <f>IF(ISBLANK(P$12),BS_Hist_TA!P59,IF(P$12=0,0,BS_Hist_TA!P59))</f>
        <v>0</v>
      </c>
      <c r="Q59" s="198">
        <f>IF(ISBLANK(Q$12),BS_Hist_TA!Q59,IF(Q$12=0,0,BS_Hist_TA!Q59))</f>
        <v>0</v>
      </c>
    </row>
    <row r="60" spans="4:17" s="22" customFormat="1" ht="10.5">
      <c r="D60" s="169" t="str">
        <f>BS_Hist_TA!D60</f>
        <v>Other Equity</v>
      </c>
      <c r="I60" s="198">
        <f>IF(ISBLANK(I$12),BS_Hist_TA!I60,IF(I$12=0,0,BS_Hist_TA!I60))</f>
        <v>5</v>
      </c>
      <c r="J60" s="198">
        <f>IF(ISBLANK(J$12),BS_Hist_TA!J60,IF(J$12=0,0,BS_Hist_TA!J60))</f>
        <v>5</v>
      </c>
      <c r="K60" s="198">
        <f>IF(ISBLANK(K$12),BS_Hist_TA!K60,IF(K$12=0,0,BS_Hist_TA!K60))</f>
        <v>5</v>
      </c>
      <c r="L60" s="198">
        <f>IF(ISBLANK(L$12),BS_Hist_TA!L60,IF(L$12=0,0,BS_Hist_TA!L60))</f>
        <v>5</v>
      </c>
      <c r="M60" s="198">
        <f>IF(ISBLANK(M$12),BS_Hist_TA!M60,IF(M$12=0,0,BS_Hist_TA!M60))</f>
        <v>0</v>
      </c>
      <c r="N60" s="198">
        <f>IF(ISBLANK(N$12),BS_Hist_TA!N60,IF(N$12=0,0,BS_Hist_TA!N60))</f>
        <v>0</v>
      </c>
      <c r="O60" s="198">
        <f>IF(ISBLANK(O$12),BS_Hist_TA!O60,IF(O$12=0,0,BS_Hist_TA!O60))</f>
        <v>0</v>
      </c>
      <c r="P60" s="198">
        <f>IF(ISBLANK(P$12),BS_Hist_TA!P60,IF(P$12=0,0,BS_Hist_TA!P60))</f>
        <v>0</v>
      </c>
      <c r="Q60" s="198">
        <f>IF(ISBLANK(Q$12),BS_Hist_TA!Q60,IF(Q$12=0,0,BS_Hist_TA!Q60))</f>
        <v>0</v>
      </c>
    </row>
    <row r="61" spans="4:17" s="22" customFormat="1" ht="10.5" hidden="1" outlineLevel="2">
      <c r="D61" s="169"/>
      <c r="E61" s="140" t="s">
        <v>277</v>
      </c>
      <c r="I61" s="198"/>
      <c r="J61" s="198">
        <f aca="true" t="shared" si="17" ref="J61:Q61">IF(J$12=0,0,I64)</f>
        <v>20.347773972602738</v>
      </c>
      <c r="K61" s="198">
        <f t="shared" si="17"/>
        <v>22.847773972602738</v>
      </c>
      <c r="L61" s="198">
        <f t="shared" si="17"/>
        <v>30.667930222602777</v>
      </c>
      <c r="M61" s="198">
        <f t="shared" si="17"/>
        <v>0</v>
      </c>
      <c r="N61" s="198">
        <f t="shared" si="17"/>
        <v>0</v>
      </c>
      <c r="O61" s="198">
        <f t="shared" si="17"/>
        <v>0</v>
      </c>
      <c r="P61" s="198">
        <f t="shared" si="17"/>
        <v>0</v>
      </c>
      <c r="Q61" s="198">
        <f t="shared" si="17"/>
        <v>0</v>
      </c>
    </row>
    <row r="62" spans="4:17" s="22" customFormat="1" ht="10.5" hidden="1" outlineLevel="2">
      <c r="D62" s="169"/>
      <c r="E62" s="140" t="s">
        <v>560</v>
      </c>
      <c r="I62" s="198"/>
      <c r="J62" s="198">
        <f>IF(ISBLANK(J$12),BS_Hist_TA!J61,IF(J$12=0,0,BS_Hist_TA!J61))-J61</f>
        <v>2.5</v>
      </c>
      <c r="K62" s="198">
        <f>IF(ISBLANK(K$12),BS_Hist_TA!K61,IF(K$12=0,0,BS_Hist_TA!K61))-K61</f>
        <v>7.820156250000039</v>
      </c>
      <c r="L62" s="198">
        <f>IF(ISBLANK(L$12),BS_Hist_TA!L61,IF(L$12=0,0,BS_Hist_TA!L61))-L61</f>
        <v>15.731597656249974</v>
      </c>
      <c r="M62" s="198">
        <f>IF(ISBLANK(M$12),BS_Hist_TA!M61,IF(M$12=0,0,BS_Hist_TA!M61))-M61</f>
        <v>0</v>
      </c>
      <c r="N62" s="198">
        <f>IF(ISBLANK(N$12),BS_Hist_TA!N61,IF(N$12=0,0,BS_Hist_TA!N61))-N61</f>
        <v>0</v>
      </c>
      <c r="O62" s="198">
        <f>IF(ISBLANK(O$12),BS_Hist_TA!O61,IF(O$12=0,0,BS_Hist_TA!O61))-O61</f>
        <v>0</v>
      </c>
      <c r="P62" s="198">
        <f>IF(ISBLANK(P$12),BS_Hist_TA!P61,IF(P$12=0,0,BS_Hist_TA!P61))-P61</f>
        <v>0</v>
      </c>
      <c r="Q62" s="198">
        <f>IF(ISBLANK(Q$12),BS_Hist_TA!Q61,IF(Q$12=0,0,BS_Hist_TA!Q61))-Q61</f>
        <v>0</v>
      </c>
    </row>
    <row r="63" spans="5:17" s="22" customFormat="1" ht="10.5" hidden="1" outlineLevel="2">
      <c r="E63" s="169" t="str">
        <f>BS_Hist_TA!E62</f>
        <v>Retained Profits - Balancing Item</v>
      </c>
      <c r="I63" s="198"/>
      <c r="J63" s="198">
        <f>IF(ISBLANK(J$12),BS_Hist_TA!J62,IF(J$12=0,0,BS_Hist_TA!J62))</f>
        <v>0</v>
      </c>
      <c r="K63" s="198">
        <f>IF(ISBLANK(K$12),BS_Hist_TA!K62,IF(K$12=0,0,BS_Hist_TA!K62))</f>
        <v>0</v>
      </c>
      <c r="L63" s="198">
        <f>IF(ISBLANK(L$12),BS_Hist_TA!L62,IF(L$12=0,0,BS_Hist_TA!L62))</f>
        <v>0</v>
      </c>
      <c r="M63" s="198">
        <f>IF(ISBLANK(M$12),BS_Hist_TA!M62,IF(M$12=0,0,BS_Hist_TA!M62))</f>
        <v>0</v>
      </c>
      <c r="N63" s="198">
        <f>IF(ISBLANK(N$12),BS_Hist_TA!N62,IF(N$12=0,0,BS_Hist_TA!N62))</f>
        <v>0</v>
      </c>
      <c r="O63" s="198">
        <f>IF(ISBLANK(O$12),BS_Hist_TA!O62,IF(O$12=0,0,BS_Hist_TA!O62))</f>
        <v>0</v>
      </c>
      <c r="P63" s="198">
        <f>IF(ISBLANK(P$12),BS_Hist_TA!P62,IF(P$12=0,0,BS_Hist_TA!P62))</f>
        <v>0</v>
      </c>
      <c r="Q63" s="198">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5"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1"/>
      <c r="I67" s="204"/>
      <c r="J67" s="204"/>
      <c r="K67" s="204"/>
      <c r="L67" s="204"/>
      <c r="M67" s="204"/>
      <c r="N67" s="204"/>
      <c r="O67" s="204"/>
      <c r="P67" s="204"/>
      <c r="Q67" s="204"/>
    </row>
    <row r="68" spans="4:17" s="22" customFormat="1" ht="10.5" hidden="1" outlineLevel="2">
      <c r="D68" s="169" t="str">
        <f>BS_Hist_TA!D67</f>
        <v>Error Values</v>
      </c>
      <c r="I68" s="200">
        <f>IF(ISERROR(I55-I66),1,0)</f>
        <v>0</v>
      </c>
      <c r="J68" s="200">
        <f aca="true" t="shared" si="19" ref="J68:Q68">IF(ISERROR(J55-J66),1,0)</f>
        <v>0</v>
      </c>
      <c r="K68" s="200">
        <f t="shared" si="19"/>
        <v>0</v>
      </c>
      <c r="L68" s="200">
        <f t="shared" si="19"/>
        <v>0</v>
      </c>
      <c r="M68" s="200">
        <f t="shared" si="19"/>
        <v>0</v>
      </c>
      <c r="N68" s="200">
        <f t="shared" si="19"/>
        <v>0</v>
      </c>
      <c r="O68" s="200">
        <f t="shared" si="19"/>
        <v>0</v>
      </c>
      <c r="P68" s="200">
        <f t="shared" si="19"/>
        <v>0</v>
      </c>
      <c r="Q68" s="200">
        <f t="shared" si="19"/>
        <v>0</v>
      </c>
    </row>
    <row r="69" spans="4:17" s="22" customFormat="1" ht="10.5" hidden="1" outlineLevel="2">
      <c r="D69" s="169" t="str">
        <f>BS_Hist_TA!D68</f>
        <v>Balancing Item Used</v>
      </c>
      <c r="I69" s="201">
        <f>IF(I68&lt;&gt;0,0,(ROUND(I55-I66,5)&lt;&gt;0)*1)</f>
        <v>0</v>
      </c>
      <c r="J69" s="201">
        <f aca="true" t="shared" si="20" ref="J69:Q69">IF(J68&lt;&gt;0,0,(ROUND(J55-J66,5)&lt;&gt;0)*1)</f>
        <v>0</v>
      </c>
      <c r="K69" s="201">
        <f t="shared" si="20"/>
        <v>0</v>
      </c>
      <c r="L69" s="201">
        <f t="shared" si="20"/>
        <v>0</v>
      </c>
      <c r="M69" s="201">
        <f t="shared" si="20"/>
        <v>0</v>
      </c>
      <c r="N69" s="201">
        <f t="shared" si="20"/>
        <v>0</v>
      </c>
      <c r="O69" s="201">
        <f t="shared" si="20"/>
        <v>0</v>
      </c>
      <c r="P69" s="201">
        <f t="shared" si="20"/>
        <v>0</v>
      </c>
      <c r="Q69" s="201">
        <f t="shared" si="20"/>
        <v>0</v>
      </c>
    </row>
    <row r="70" spans="3:17" s="22" customFormat="1" ht="10.5" collapsed="1">
      <c r="C70" s="169" t="str">
        <f>BS_Hist_TA!C69</f>
        <v>Total Error Check Result</v>
      </c>
      <c r="H70" s="202">
        <f>IF(ISERROR(SUM(I70:Q70)),0,MIN(SUM(I70:Q70),1))</f>
        <v>0</v>
      </c>
      <c r="I70" s="203">
        <f aca="true" t="shared" si="21" ref="I70:Q70">MIN(SUM(I68:I69),1)</f>
        <v>0</v>
      </c>
      <c r="J70" s="203">
        <f t="shared" si="21"/>
        <v>0</v>
      </c>
      <c r="K70" s="203">
        <f t="shared" si="21"/>
        <v>0</v>
      </c>
      <c r="L70" s="203">
        <f t="shared" si="21"/>
        <v>0</v>
      </c>
      <c r="M70" s="203">
        <f t="shared" si="21"/>
        <v>0</v>
      </c>
      <c r="N70" s="203">
        <f t="shared" si="21"/>
        <v>0</v>
      </c>
      <c r="O70" s="203">
        <f t="shared" si="21"/>
        <v>0</v>
      </c>
      <c r="P70" s="203">
        <f t="shared" si="21"/>
        <v>0</v>
      </c>
      <c r="Q70" s="203">
        <f t="shared" si="21"/>
        <v>0</v>
      </c>
    </row>
    <row r="71" spans="10:17" s="22" customFormat="1" ht="10.5" hidden="1" outlineLevel="2">
      <c r="J71" s="199"/>
      <c r="K71" s="199"/>
      <c r="L71" s="199"/>
      <c r="M71" s="199"/>
      <c r="N71" s="199"/>
      <c r="O71" s="199"/>
      <c r="P71" s="199"/>
      <c r="Q71" s="199"/>
    </row>
    <row r="72" spans="4:17" s="22" customFormat="1" ht="10.5" hidden="1" outlineLevel="2">
      <c r="D72" s="169" t="str">
        <f>BS_Hist_TA!D71</f>
        <v>Negative Cash</v>
      </c>
      <c r="I72" s="224">
        <f>IF(I$12=0,0,IF(ISERROR(I22),1,IF(ROUND(I22,5)&lt;0,1,0)))</f>
        <v>0</v>
      </c>
      <c r="J72" s="224">
        <f>IF(J$12=0,0,IF(ISERROR(J22),1,IF(ROUND(J22,5)&lt;0,1,0)))</f>
        <v>0</v>
      </c>
      <c r="K72" s="224">
        <f aca="true" t="shared" si="22" ref="K72:Q72">IF(K$12=0,0,IF(ISERROR(K22),1,IF(ROUND(K22,5)&lt;0,1,0)))</f>
        <v>0</v>
      </c>
      <c r="L72" s="224">
        <f t="shared" si="22"/>
        <v>0</v>
      </c>
      <c r="M72" s="224">
        <f t="shared" si="22"/>
        <v>0</v>
      </c>
      <c r="N72" s="224">
        <f t="shared" si="22"/>
        <v>0</v>
      </c>
      <c r="O72" s="224">
        <f t="shared" si="22"/>
        <v>0</v>
      </c>
      <c r="P72" s="224">
        <f t="shared" si="22"/>
        <v>0</v>
      </c>
      <c r="Q72" s="224">
        <f t="shared" si="22"/>
        <v>0</v>
      </c>
    </row>
    <row r="73" spans="4:17" s="22" customFormat="1" ht="10.5" hidden="1" outlineLevel="2">
      <c r="D73" s="169" t="str">
        <f>BS_Hist_TA!D72</f>
        <v>Balancing Item Used</v>
      </c>
      <c r="I73" s="201">
        <f>IF(OR(ISBLANK(I$12),I$12&lt;&gt;0),IF(ISERROR(I63),1,IF(ROUND(I63,5)&lt;&gt;0,1,0)),0)</f>
        <v>0</v>
      </c>
      <c r="J73" s="201">
        <f aca="true" t="shared" si="23" ref="J73:Q73">IF(OR(ISBLANK(J$12),J$12&lt;&gt;0),IF(ISERROR(J63),1,IF(ROUND(J63,5)&lt;&gt;0,1,0)),0)</f>
        <v>0</v>
      </c>
      <c r="K73" s="201">
        <f t="shared" si="23"/>
        <v>0</v>
      </c>
      <c r="L73" s="201">
        <f t="shared" si="23"/>
        <v>0</v>
      </c>
      <c r="M73" s="201">
        <f t="shared" si="23"/>
        <v>0</v>
      </c>
      <c r="N73" s="201">
        <f t="shared" si="23"/>
        <v>0</v>
      </c>
      <c r="O73" s="201">
        <f t="shared" si="23"/>
        <v>0</v>
      </c>
      <c r="P73" s="201">
        <f t="shared" si="23"/>
        <v>0</v>
      </c>
      <c r="Q73" s="201">
        <f t="shared" si="23"/>
        <v>0</v>
      </c>
    </row>
    <row r="74" spans="3:17" s="22" customFormat="1" ht="10.5" collapsed="1">
      <c r="C74" s="169" t="str">
        <f>BS_Hist_TA!C73</f>
        <v>Total Alert Check Result</v>
      </c>
      <c r="H74" s="202">
        <f>IF(ISERROR(SUM(I74:Q74)),0,MIN(SUM(I74:Q74),1))</f>
        <v>0</v>
      </c>
      <c r="I74" s="203">
        <f aca="true" t="shared" si="24" ref="I74:Q74">MIN(SUM(I72:I73),1)</f>
        <v>0</v>
      </c>
      <c r="J74" s="203">
        <f t="shared" si="24"/>
        <v>0</v>
      </c>
      <c r="K74" s="203">
        <f t="shared" si="24"/>
        <v>0</v>
      </c>
      <c r="L74" s="203">
        <f t="shared" si="24"/>
        <v>0</v>
      </c>
      <c r="M74" s="203">
        <f t="shared" si="24"/>
        <v>0</v>
      </c>
      <c r="N74" s="203">
        <f t="shared" si="24"/>
        <v>0</v>
      </c>
      <c r="O74" s="203">
        <f t="shared" si="24"/>
        <v>0</v>
      </c>
      <c r="P74" s="203">
        <f t="shared" si="24"/>
        <v>0</v>
      </c>
      <c r="Q74" s="203">
        <f t="shared" si="24"/>
        <v>0</v>
      </c>
    </row>
    <row r="75" s="22" customFormat="1" ht="10.5"/>
    <row r="76" spans="3:8" s="22" customFormat="1" ht="10.5">
      <c r="C76" s="233" t="str">
        <f>"Go to "&amp;Alt_Chk_1_Hdg</f>
        <v>Go to Balance Sheet - Historical Assumptions</v>
      </c>
      <c r="D76" s="236"/>
      <c r="E76" s="236"/>
      <c r="F76" s="236"/>
      <c r="G76" s="236"/>
      <c r="H76" s="236"/>
    </row>
    <row r="77" s="22" customFormat="1" ht="10.5"/>
    <row r="78" s="22" customFormat="1" ht="10.5">
      <c r="C78" s="165" t="str">
        <f>BS_Hist_TA!C77</f>
        <v>Notes</v>
      </c>
    </row>
    <row r="79" spans="3:4" s="22" customFormat="1" ht="10.5">
      <c r="C79" s="197">
        <f>BS_Hist_TA!C78</f>
        <v>1</v>
      </c>
      <c r="D79" s="193"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4" t="str">
        <f>CFS_Hist_TA!B16</f>
        <v>Cash Flow Statement</v>
      </c>
    </row>
    <row r="17" s="22" customFormat="1" ht="10.5"/>
    <row r="18" s="22" customFormat="1" ht="11.25">
      <c r="C18" s="195" t="str">
        <f>CFS_Hist_TA!C18</f>
        <v>Cash Flow from Operating Activities</v>
      </c>
    </row>
    <row r="19" s="22" customFormat="1" ht="10.5"/>
    <row r="20" spans="5:17" s="22" customFormat="1" ht="10.5" hidden="1" outlineLevel="2">
      <c r="E20" s="169" t="str">
        <f>CFS_Hist_TA!E20</f>
        <v>Revenue</v>
      </c>
      <c r="J20" s="198">
        <f>IF(J$12=0,0,CFS_Hist_TA!J20)</f>
        <v>125</v>
      </c>
      <c r="K20" s="198">
        <f>IF(K$12=0,0,CFS_Hist_TA!K20)</f>
        <v>128.125</v>
      </c>
      <c r="L20" s="198">
        <f>IF(L$12=0,0,CFS_Hist_TA!L20)</f>
        <v>131.328125</v>
      </c>
      <c r="M20" s="198">
        <f>IF(M$12=0,0,CFS_Hist_TA!M20)</f>
        <v>0</v>
      </c>
      <c r="N20" s="198">
        <f>IF(N$12=0,0,CFS_Hist_TA!N20)</f>
        <v>0</v>
      </c>
      <c r="O20" s="198">
        <f>IF(O$12=0,0,CFS_Hist_TA!O20)</f>
        <v>0</v>
      </c>
      <c r="P20" s="198">
        <f>IF(P$12=0,0,CFS_Hist_TA!P20)</f>
        <v>0</v>
      </c>
      <c r="Q20" s="198">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8">
        <f>J20+J21</f>
        <v>135.72602739726028</v>
      </c>
      <c r="K22" s="198">
        <f aca="true" t="shared" si="8" ref="K22:Q22">K20+K21</f>
        <v>127.86815068493149</v>
      </c>
      <c r="L22" s="198">
        <f t="shared" si="8"/>
        <v>131.09434650797215</v>
      </c>
      <c r="M22" s="198">
        <f t="shared" si="8"/>
        <v>0</v>
      </c>
      <c r="N22" s="198">
        <f t="shared" si="8"/>
        <v>0</v>
      </c>
      <c r="O22" s="198">
        <f t="shared" si="8"/>
        <v>0</v>
      </c>
      <c r="P22" s="198">
        <f t="shared" si="8"/>
        <v>0</v>
      </c>
      <c r="Q22" s="198">
        <f t="shared" si="8"/>
        <v>0</v>
      </c>
    </row>
    <row r="23" spans="4:17" s="22" customFormat="1" ht="10.5" hidden="1" outlineLevel="2">
      <c r="D23" s="169"/>
      <c r="E23" s="169" t="str">
        <f>CFS_Hist_TA!E23</f>
        <v>Cost of Goods Sold</v>
      </c>
      <c r="J23" s="198">
        <f>IF(J$12=0,0,CFS_Hist_TA!J23)</f>
        <v>-25</v>
      </c>
      <c r="K23" s="198">
        <f>IF(K$12=0,0,CFS_Hist_TA!K23)</f>
        <v>-25.624999999999996</v>
      </c>
      <c r="L23" s="198">
        <f>IF(L$12=0,0,CFS_Hist_TA!L23)</f>
        <v>-26.265624999999993</v>
      </c>
      <c r="M23" s="198">
        <f>IF(M$12=0,0,CFS_Hist_TA!M23)</f>
        <v>0</v>
      </c>
      <c r="N23" s="198">
        <f>IF(N$12=0,0,CFS_Hist_TA!N23)</f>
        <v>0</v>
      </c>
      <c r="O23" s="198">
        <f>IF(O$12=0,0,CFS_Hist_TA!O23)</f>
        <v>0</v>
      </c>
      <c r="P23" s="198">
        <f>IF(P$12=0,0,CFS_Hist_TA!P23)</f>
        <v>0</v>
      </c>
      <c r="Q23" s="198">
        <f>IF(Q$12=0,0,CFS_Hist_TA!Q23)</f>
        <v>0</v>
      </c>
    </row>
    <row r="24" spans="4:17" s="22" customFormat="1" ht="10.5" hidden="1" outlineLevel="2">
      <c r="D24" s="169"/>
      <c r="E24" s="169" t="str">
        <f>CFS_Hist_TA!E24</f>
        <v>Operating Expenditure</v>
      </c>
      <c r="J24" s="198">
        <f>IF(J$12=0,0,CFS_Hist_TA!J24)</f>
        <v>-40</v>
      </c>
      <c r="K24" s="198">
        <f>IF(K$12=0,0,CFS_Hist_TA!K24)</f>
        <v>-41</v>
      </c>
      <c r="L24" s="198">
        <f>IF(L$12=0,0,CFS_Hist_TA!L24)</f>
        <v>-42.025</v>
      </c>
      <c r="M24" s="198">
        <f>IF(M$12=0,0,CFS_Hist_TA!M24)</f>
        <v>0</v>
      </c>
      <c r="N24" s="198">
        <f>IF(N$12=0,0,CFS_Hist_TA!N24)</f>
        <v>0</v>
      </c>
      <c r="O24" s="198">
        <f>IF(O$12=0,0,CFS_Hist_TA!O24)</f>
        <v>0</v>
      </c>
      <c r="P24" s="198">
        <f>IF(P$12=0,0,CFS_Hist_TA!P24)</f>
        <v>0</v>
      </c>
      <c r="Q24" s="198">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8">
        <f>SUM(J23:J25)</f>
        <v>-72.98630136986301</v>
      </c>
      <c r="K26" s="198">
        <f aca="true" t="shared" si="9" ref="K26:Q26">SUM(K23:K25)</f>
        <v>-66.42465753424658</v>
      </c>
      <c r="L26" s="198">
        <f t="shared" si="9"/>
        <v>-68.10827777621827</v>
      </c>
      <c r="M26" s="198">
        <f t="shared" si="9"/>
        <v>0</v>
      </c>
      <c r="N26" s="198">
        <f t="shared" si="9"/>
        <v>0</v>
      </c>
      <c r="O26" s="198">
        <f t="shared" si="9"/>
        <v>0</v>
      </c>
      <c r="P26" s="198">
        <f t="shared" si="9"/>
        <v>0</v>
      </c>
      <c r="Q26" s="198">
        <f t="shared" si="9"/>
        <v>0</v>
      </c>
    </row>
    <row r="27" spans="4:17" s="22" customFormat="1" ht="10.5">
      <c r="D27" s="169" t="str">
        <f>CFS_Hist_TA!D27</f>
        <v>Interest Paid</v>
      </c>
      <c r="J27" s="198">
        <f>IF(J$12=0,0,CFS_Hist_TA!J27)</f>
        <v>-3.25</v>
      </c>
      <c r="K27" s="198">
        <f>IF(K$12=0,0,CFS_Hist_TA!K27)</f>
        <v>-3.25</v>
      </c>
      <c r="L27" s="198">
        <f>IF(L$12=0,0,CFS_Hist_TA!L27)</f>
        <v>-3.25</v>
      </c>
      <c r="M27" s="198">
        <f>IF(M$12=0,0,CFS_Hist_TA!M27)</f>
        <v>0</v>
      </c>
      <c r="N27" s="198">
        <f>IF(N$12=0,0,CFS_Hist_TA!N27)</f>
        <v>0</v>
      </c>
      <c r="O27" s="198">
        <f>IF(O$12=0,0,CFS_Hist_TA!O27)</f>
        <v>0</v>
      </c>
      <c r="P27" s="198">
        <f>IF(P$12=0,0,CFS_Hist_TA!P27)</f>
        <v>0</v>
      </c>
      <c r="Q27" s="198">
        <f>IF(Q$12=0,0,CFS_Hist_TA!Q27)</f>
        <v>0</v>
      </c>
    </row>
    <row r="28" spans="4:17" s="22" customFormat="1" ht="10.5">
      <c r="D28" s="169" t="str">
        <f>CFS_Hist_TA!D28</f>
        <v>Tax Paid</v>
      </c>
      <c r="J28" s="198">
        <f>IF(J$12=0,0,CFS_Hist_TA!J28)</f>
        <v>-3.5</v>
      </c>
      <c r="K28" s="198">
        <f>IF(K$12=0,0,CFS_Hist_TA!K28)</f>
        <v>-12.7875</v>
      </c>
      <c r="L28" s="198">
        <f>IF(L$12=0,0,CFS_Hist_TA!L28)</f>
        <v>-13.1315625</v>
      </c>
      <c r="M28" s="198">
        <f>IF(M$12=0,0,CFS_Hist_TA!M28)</f>
        <v>0</v>
      </c>
      <c r="N28" s="198">
        <f>IF(N$12=0,0,CFS_Hist_TA!N28)</f>
        <v>0</v>
      </c>
      <c r="O28" s="198">
        <f>IF(O$12=0,0,CFS_Hist_TA!O28)</f>
        <v>0</v>
      </c>
      <c r="P28" s="198">
        <f>IF(P$12=0,0,CFS_Hist_TA!P28)</f>
        <v>0</v>
      </c>
      <c r="Q28" s="198">
        <f>IF(Q$12=0,0,CFS_Hist_TA!Q28)</f>
        <v>0</v>
      </c>
    </row>
    <row r="29" spans="4:17" s="22" customFormat="1" ht="10.5">
      <c r="D29" s="169" t="str">
        <f>CFS_Hist_TA!D29</f>
        <v>Decrease in Other Current Assets</v>
      </c>
      <c r="J29" s="198">
        <f>IF(J$12=0,0,CFS_Hist_TA!J29)</f>
        <v>-1</v>
      </c>
      <c r="K29" s="198">
        <f>IF(K$12=0,0,CFS_Hist_TA!K29)</f>
        <v>-1</v>
      </c>
      <c r="L29" s="198">
        <f>IF(L$12=0,0,CFS_Hist_TA!L29)</f>
        <v>-1</v>
      </c>
      <c r="M29" s="198">
        <f>IF(M$12=0,0,CFS_Hist_TA!M29)</f>
        <v>0</v>
      </c>
      <c r="N29" s="198">
        <f>IF(N$12=0,0,CFS_Hist_TA!N29)</f>
        <v>0</v>
      </c>
      <c r="O29" s="198">
        <f>IF(O$12=0,0,CFS_Hist_TA!O29)</f>
        <v>0</v>
      </c>
      <c r="P29" s="198">
        <f>IF(P$12=0,0,CFS_Hist_TA!P29)</f>
        <v>0</v>
      </c>
      <c r="Q29" s="198">
        <f>IF(Q$12=0,0,CFS_Hist_TA!Q29)</f>
        <v>0</v>
      </c>
    </row>
    <row r="30" spans="4:17" s="22" customFormat="1" ht="10.5">
      <c r="D30" s="169" t="str">
        <f>CFS_Hist_TA!D30</f>
        <v>Increase in Other Current Liabilities</v>
      </c>
      <c r="J30" s="198">
        <f>IF(J$12=0,0,CFS_Hist_TA!J30)</f>
        <v>1</v>
      </c>
      <c r="K30" s="198">
        <f>IF(K$12=0,0,CFS_Hist_TA!K30)</f>
        <v>1</v>
      </c>
      <c r="L30" s="198">
        <f>IF(L$12=0,0,CFS_Hist_TA!L30)</f>
        <v>1</v>
      </c>
      <c r="M30" s="198">
        <f>IF(M$12=0,0,CFS_Hist_TA!M30)</f>
        <v>0</v>
      </c>
      <c r="N30" s="198">
        <f>IF(N$12=0,0,CFS_Hist_TA!N30)</f>
        <v>0</v>
      </c>
      <c r="O30" s="198">
        <f>IF(O$12=0,0,CFS_Hist_TA!O30)</f>
        <v>0</v>
      </c>
      <c r="P30" s="198">
        <f>IF(P$12=0,0,CFS_Hist_TA!P30)</f>
        <v>0</v>
      </c>
      <c r="Q30" s="198">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5"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8">
        <f>IF(J$12=0,0,CFS_Hist_TA!J35)</f>
        <v>-15</v>
      </c>
      <c r="K35" s="198">
        <f>IF(K$12=0,0,CFS_Hist_TA!K35)</f>
        <v>-15.374999999999998</v>
      </c>
      <c r="L35" s="198">
        <f>IF(L$12=0,0,CFS_Hist_TA!L35)</f>
        <v>-15.759374999999997</v>
      </c>
      <c r="M35" s="198">
        <f>IF(M$12=0,0,CFS_Hist_TA!M35)</f>
        <v>0</v>
      </c>
      <c r="N35" s="198">
        <f>IF(N$12=0,0,CFS_Hist_TA!N35)</f>
        <v>0</v>
      </c>
      <c r="O35" s="198">
        <f>IF(O$12=0,0,CFS_Hist_TA!O35)</f>
        <v>0</v>
      </c>
      <c r="P35" s="198">
        <f>IF(P$12=0,0,CFS_Hist_TA!P35)</f>
        <v>0</v>
      </c>
      <c r="Q35" s="198">
        <f>IF(Q$12=0,0,CFS_Hist_TA!Q35)</f>
        <v>0</v>
      </c>
    </row>
    <row r="36" spans="4:17" s="22" customFormat="1" ht="10.5">
      <c r="D36" s="169" t="str">
        <f>CFS_Hist_TA!D36</f>
        <v>Capital Expenditure - Intangibles</v>
      </c>
      <c r="J36" s="198">
        <f>IF(J$12=0,0,CFS_Hist_TA!J36)</f>
        <v>-2.5</v>
      </c>
      <c r="K36" s="198">
        <f>IF(K$12=0,0,CFS_Hist_TA!K36)</f>
        <v>-2.5625</v>
      </c>
      <c r="L36" s="198">
        <f>IF(L$12=0,0,CFS_Hist_TA!L36)</f>
        <v>-2.6265625</v>
      </c>
      <c r="M36" s="198">
        <f>IF(M$12=0,0,CFS_Hist_TA!M36)</f>
        <v>0</v>
      </c>
      <c r="N36" s="198">
        <f>IF(N$12=0,0,CFS_Hist_TA!N36)</f>
        <v>0</v>
      </c>
      <c r="O36" s="198">
        <f>IF(O$12=0,0,CFS_Hist_TA!O36)</f>
        <v>0</v>
      </c>
      <c r="P36" s="198">
        <f>IF(P$12=0,0,CFS_Hist_TA!P36)</f>
        <v>0</v>
      </c>
      <c r="Q36" s="198">
        <f>IF(Q$12=0,0,CFS_Hist_TA!Q36)</f>
        <v>0</v>
      </c>
    </row>
    <row r="37" spans="4:17" s="22" customFormat="1" ht="10.5">
      <c r="D37" s="169" t="str">
        <f>CFS_Hist_TA!D37</f>
        <v>Decrease in Other Non-Current Assets</v>
      </c>
      <c r="J37" s="198">
        <f>IF(J$12=0,0,CFS_Hist_TA!J37)</f>
        <v>-1</v>
      </c>
      <c r="K37" s="198">
        <f>IF(K$12=0,0,CFS_Hist_TA!K37)</f>
        <v>-1</v>
      </c>
      <c r="L37" s="198">
        <f>IF(L$12=0,0,CFS_Hist_TA!L37)</f>
        <v>-1</v>
      </c>
      <c r="M37" s="198">
        <f>IF(M$12=0,0,CFS_Hist_TA!M37)</f>
        <v>0</v>
      </c>
      <c r="N37" s="198">
        <f>IF(N$12=0,0,CFS_Hist_TA!N37)</f>
        <v>0</v>
      </c>
      <c r="O37" s="198">
        <f>IF(O$12=0,0,CFS_Hist_TA!O37)</f>
        <v>0</v>
      </c>
      <c r="P37" s="198">
        <f>IF(P$12=0,0,CFS_Hist_TA!P37)</f>
        <v>0</v>
      </c>
      <c r="Q37" s="198">
        <f>IF(Q$12=0,0,CFS_Hist_TA!Q37)</f>
        <v>0</v>
      </c>
    </row>
    <row r="38" spans="4:17" s="22" customFormat="1" ht="10.5">
      <c r="D38" s="169" t="str">
        <f>CFS_Hist_TA!D38</f>
        <v>Increase in Other Non-Current Liabilities</v>
      </c>
      <c r="J38" s="198">
        <f>IF(J$12=0,0,CFS_Hist_TA!J38)</f>
        <v>1</v>
      </c>
      <c r="K38" s="198">
        <f>IF(K$12=0,0,CFS_Hist_TA!K38)</f>
        <v>1</v>
      </c>
      <c r="L38" s="198">
        <f>IF(L$12=0,0,CFS_Hist_TA!L38)</f>
        <v>1</v>
      </c>
      <c r="M38" s="198">
        <f>IF(M$12=0,0,CFS_Hist_TA!M38)</f>
        <v>0</v>
      </c>
      <c r="N38" s="198">
        <f>IF(N$12=0,0,CFS_Hist_TA!N38)</f>
        <v>0</v>
      </c>
      <c r="O38" s="198">
        <f>IF(O$12=0,0,CFS_Hist_TA!O38)</f>
        <v>0</v>
      </c>
      <c r="P38" s="198">
        <f>IF(P$12=0,0,CFS_Hist_TA!P38)</f>
        <v>0</v>
      </c>
      <c r="Q38" s="198">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5"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8">
        <f>IF(J$12=0,0,CFS_Hist_TA!J43)</f>
        <v>0</v>
      </c>
      <c r="K43" s="198">
        <f>IF(K$12=0,0,CFS_Hist_TA!K43)</f>
        <v>0</v>
      </c>
      <c r="L43" s="198">
        <f>IF(L$12=0,0,CFS_Hist_TA!L43)</f>
        <v>0</v>
      </c>
      <c r="M43" s="198">
        <f>IF(M$12=0,0,CFS_Hist_TA!M43)</f>
        <v>0</v>
      </c>
      <c r="N43" s="198">
        <f>IF(N$12=0,0,CFS_Hist_TA!N43)</f>
        <v>0</v>
      </c>
      <c r="O43" s="198">
        <f>IF(O$12=0,0,CFS_Hist_TA!O43)</f>
        <v>0</v>
      </c>
      <c r="P43" s="198">
        <f>IF(P$12=0,0,CFS_Hist_TA!P43)</f>
        <v>0</v>
      </c>
      <c r="Q43" s="198">
        <f>IF(Q$12=0,0,CFS_Hist_TA!Q43)</f>
        <v>0</v>
      </c>
    </row>
    <row r="44" spans="4:17" s="22" customFormat="1" ht="10.5">
      <c r="D44" s="169" t="str">
        <f>CFS_Hist_TA!D44</f>
        <v>Debt Repayments</v>
      </c>
      <c r="J44" s="198">
        <f>IF(J$12=0,0,CFS_Hist_TA!J44)</f>
        <v>0</v>
      </c>
      <c r="K44" s="198">
        <f>IF(K$12=0,0,CFS_Hist_TA!K44)</f>
        <v>0</v>
      </c>
      <c r="L44" s="198">
        <f>IF(L$12=0,0,CFS_Hist_TA!L44)</f>
        <v>0</v>
      </c>
      <c r="M44" s="198">
        <f>IF(M$12=0,0,CFS_Hist_TA!M44)</f>
        <v>0</v>
      </c>
      <c r="N44" s="198">
        <f>IF(N$12=0,0,CFS_Hist_TA!N44)</f>
        <v>0</v>
      </c>
      <c r="O44" s="198">
        <f>IF(O$12=0,0,CFS_Hist_TA!O44)</f>
        <v>0</v>
      </c>
      <c r="P44" s="198">
        <f>IF(P$12=0,0,CFS_Hist_TA!P44)</f>
        <v>0</v>
      </c>
      <c r="Q44" s="198">
        <f>IF(Q$12=0,0,CFS_Hist_TA!Q44)</f>
        <v>0</v>
      </c>
    </row>
    <row r="45" spans="4:17" s="22" customFormat="1" ht="10.5">
      <c r="D45" s="169" t="str">
        <f>CFS_Hist_TA!D45</f>
        <v>Equity Raisings</v>
      </c>
      <c r="J45" s="198">
        <f>IF(J$12=0,0,CFS_Hist_TA!J45)</f>
        <v>0</v>
      </c>
      <c r="K45" s="198">
        <f>IF(K$12=0,0,CFS_Hist_TA!K45)</f>
        <v>0</v>
      </c>
      <c r="L45" s="198">
        <f>IF(L$12=0,0,CFS_Hist_TA!L45)</f>
        <v>0</v>
      </c>
      <c r="M45" s="198">
        <f>IF(M$12=0,0,CFS_Hist_TA!M45)</f>
        <v>0</v>
      </c>
      <c r="N45" s="198">
        <f>IF(N$12=0,0,CFS_Hist_TA!N45)</f>
        <v>0</v>
      </c>
      <c r="O45" s="198">
        <f>IF(O$12=0,0,CFS_Hist_TA!O45)</f>
        <v>0</v>
      </c>
      <c r="P45" s="198">
        <f>IF(P$12=0,0,CFS_Hist_TA!P45)</f>
        <v>0</v>
      </c>
      <c r="Q45" s="198">
        <f>IF(Q$12=0,0,CFS_Hist_TA!Q45)</f>
        <v>0</v>
      </c>
    </row>
    <row r="46" spans="4:17" s="22" customFormat="1" ht="10.5">
      <c r="D46" s="169" t="str">
        <f>CFS_Hist_TA!D46</f>
        <v>Equity Repayments</v>
      </c>
      <c r="J46" s="198">
        <f>IF(J$12=0,0,CFS_Hist_TA!J46)</f>
        <v>0</v>
      </c>
      <c r="K46" s="198">
        <f>IF(K$12=0,0,CFS_Hist_TA!K46)</f>
        <v>0</v>
      </c>
      <c r="L46" s="198">
        <f>IF(L$12=0,0,CFS_Hist_TA!L46)</f>
        <v>0</v>
      </c>
      <c r="M46" s="198">
        <f>IF(M$12=0,0,CFS_Hist_TA!M46)</f>
        <v>0</v>
      </c>
      <c r="N46" s="198">
        <f>IF(N$12=0,0,CFS_Hist_TA!N46)</f>
        <v>0</v>
      </c>
      <c r="O46" s="198">
        <f>IF(O$12=0,0,CFS_Hist_TA!O46)</f>
        <v>0</v>
      </c>
      <c r="P46" s="198">
        <f>IF(P$12=0,0,CFS_Hist_TA!P46)</f>
        <v>0</v>
      </c>
      <c r="Q46" s="198">
        <f>IF(Q$12=0,0,CFS_Hist_TA!Q46)</f>
        <v>0</v>
      </c>
    </row>
    <row r="47" spans="4:17" s="22" customFormat="1" ht="10.5">
      <c r="D47" s="169" t="str">
        <f>CFS_Hist_TA!D47</f>
        <v>Dividends Paid During Period</v>
      </c>
      <c r="J47" s="198">
        <f>IF(J$12=0,0,CFS_Hist_TA!J47)</f>
        <v>-14.91875</v>
      </c>
      <c r="K47" s="198">
        <f>IF(K$12=0,0,CFS_Hist_TA!K47)</f>
        <v>-15.32015625</v>
      </c>
      <c r="L47" s="198">
        <f>IF(L$12=0,0,CFS_Hist_TA!L47)</f>
        <v>-15.731597656250003</v>
      </c>
      <c r="M47" s="198">
        <f>IF(M$12=0,0,CFS_Hist_TA!M47)</f>
        <v>0</v>
      </c>
      <c r="N47" s="198">
        <f>IF(N$12=0,0,CFS_Hist_TA!N47)</f>
        <v>0</v>
      </c>
      <c r="O47" s="198">
        <f>IF(O$12=0,0,CFS_Hist_TA!O47)</f>
        <v>0</v>
      </c>
      <c r="P47" s="198">
        <f>IF(P$12=0,0,CFS_Hist_TA!P47)</f>
        <v>0</v>
      </c>
      <c r="Q47" s="198">
        <f>IF(Q$12=0,0,CFS_Hist_TA!Q47)</f>
        <v>0</v>
      </c>
    </row>
    <row r="48" spans="4:17" s="22" customFormat="1" ht="10.5">
      <c r="D48" s="169" t="str">
        <f>CFS_Hist_TA!D48</f>
        <v>Increase in Other Equity</v>
      </c>
      <c r="J48" s="198">
        <f>IF(J$12=0,0,CFS_Hist_TA!J48)</f>
        <v>0.1</v>
      </c>
      <c r="K48" s="198">
        <f>IF(K$12=0,0,CFS_Hist_TA!K48)</f>
        <v>0.1</v>
      </c>
      <c r="L48" s="198">
        <f>IF(L$12=0,0,CFS_Hist_TA!L48)</f>
        <v>0.1</v>
      </c>
      <c r="M48" s="198">
        <f>IF(M$12=0,0,CFS_Hist_TA!M48)</f>
        <v>0</v>
      </c>
      <c r="N48" s="198">
        <f>IF(N$12=0,0,CFS_Hist_TA!N48)</f>
        <v>0</v>
      </c>
      <c r="O48" s="198">
        <f>IF(O$12=0,0,CFS_Hist_TA!O48)</f>
        <v>0</v>
      </c>
      <c r="P48" s="198">
        <f>IF(P$12=0,0,CFS_Hist_TA!P48)</f>
        <v>0</v>
      </c>
      <c r="Q48" s="198">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5"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3" t="str">
        <f>"Go to "&amp;CFS_Hist_TA!$B$1</f>
        <v>Go to Cash Flow Statement - Historical Assumptions</v>
      </c>
      <c r="D53" s="236"/>
      <c r="E53" s="236"/>
      <c r="F53" s="236"/>
      <c r="G53" s="236"/>
      <c r="H53" s="236"/>
      <c r="I53" s="236"/>
    </row>
    <row r="54" s="22" customFormat="1" ht="10.5"/>
    <row r="55" s="22" customFormat="1" ht="10.5">
      <c r="C55" s="165" t="str">
        <f>CFS_Hist_TA!C55</f>
        <v>Notes</v>
      </c>
    </row>
    <row r="56" spans="3:4" s="22" customFormat="1" ht="10.5">
      <c r="C56" s="197">
        <f>CFS_Hist_TA!C56</f>
        <v>1</v>
      </c>
      <c r="D56" s="193"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10">
        <f>IF(K$12=0,0,IF(ISERROR(K33/J33),"N/A",ROUND(K33/J33-1,5)))</f>
        <v>0</v>
      </c>
      <c r="L35" s="210">
        <f aca="true" t="shared" si="12" ref="L35:Q35">IF(L$12=0,0,IF(ISERROR(L33/K33),"N/A",ROUND(L33/K33-1,5)))</f>
        <v>0</v>
      </c>
      <c r="M35" s="210" t="str">
        <f t="shared" si="12"/>
        <v>N/A</v>
      </c>
      <c r="N35" s="210">
        <f t="shared" si="12"/>
        <v>0.025</v>
      </c>
      <c r="O35" s="210">
        <f t="shared" si="12"/>
        <v>0.025</v>
      </c>
      <c r="P35" s="210">
        <f t="shared" si="12"/>
        <v>0.0222</v>
      </c>
      <c r="Q35" s="210">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10">
        <f>IF(K$12=0,0,IF(ISERROR(K50/J50),"N/A",ROUND(K50/J50-1,5)))</f>
        <v>0</v>
      </c>
      <c r="L52" s="210">
        <f aca="true" t="shared" si="22" ref="L52:Q52">IF(L$12=0,0,IF(ISERROR(L50/K50),"N/A",ROUND(L50/K50-1,5)))</f>
        <v>0</v>
      </c>
      <c r="M52" s="210" t="str">
        <f t="shared" si="22"/>
        <v>N/A</v>
      </c>
      <c r="N52" s="210">
        <f t="shared" si="22"/>
        <v>0.025</v>
      </c>
      <c r="O52" s="210">
        <f t="shared" si="22"/>
        <v>0.025</v>
      </c>
      <c r="P52" s="210">
        <f t="shared" si="22"/>
        <v>0.0222</v>
      </c>
      <c r="Q52" s="210">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6" t="str">
        <f>IF(J$12=0,"-",Fcast_TA!J94)</f>
        <v>-</v>
      </c>
      <c r="K144" s="226" t="str">
        <f>IF(K$12=0,"-",Fcast_TA!K94)</f>
        <v>-</v>
      </c>
      <c r="L144" s="226" t="str">
        <f>IF(L$12=0,"-",Fcast_TA!L94)</f>
        <v>-</v>
      </c>
      <c r="M144" s="226" t="str">
        <f>IF(M$12=0,"-",Fcast_TA!M94)</f>
        <v>Yes</v>
      </c>
      <c r="N144" s="226" t="str">
        <f>IF(N$12=0,"-",Fcast_TA!N94)</f>
        <v>Yes</v>
      </c>
      <c r="O144" s="226" t="str">
        <f>IF(O$12=0,"-",Fcast_TA!O94)</f>
        <v>Yes</v>
      </c>
      <c r="P144" s="226" t="str">
        <f>IF(P$12=0,"-",Fcast_TA!P94)</f>
        <v>Yes</v>
      </c>
      <c r="Q144" s="226"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3"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3"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7"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4" t="str">
        <f>IS_Hist_TA!B16</f>
        <v>Income Statement</v>
      </c>
    </row>
    <row r="17" s="22" customFormat="1" ht="10.5"/>
    <row r="18" spans="4:17" s="22" customFormat="1" ht="10.5">
      <c r="D18" s="169" t="str">
        <f>IS_Hist_TA!D18</f>
        <v>Revenue</v>
      </c>
      <c r="J18" s="198">
        <f>IS_Hist_TO!J18+IS_Fcast_TO!J18</f>
        <v>125</v>
      </c>
      <c r="K18" s="198">
        <f>IS_Hist_TO!K18+IS_Fcast_TO!K18</f>
        <v>128.125</v>
      </c>
      <c r="L18" s="198">
        <f>IS_Hist_TO!L18+IS_Fcast_TO!L18</f>
        <v>131.328125</v>
      </c>
      <c r="M18" s="198">
        <f>IS_Hist_TO!M18+IS_Fcast_TO!M18</f>
        <v>134.611328125</v>
      </c>
      <c r="N18" s="198">
        <f>IS_Hist_TO!N18+IS_Fcast_TO!N18</f>
        <v>137.976611328125</v>
      </c>
      <c r="O18" s="198">
        <f>IS_Hist_TO!O18+IS_Fcast_TO!O18</f>
        <v>141.4260266113281</v>
      </c>
      <c r="P18" s="198">
        <f>IS_Hist_TO!P18+IS_Fcast_TO!P18</f>
        <v>144.96167727661128</v>
      </c>
      <c r="Q18" s="198">
        <f>IS_Hist_TO!Q18+IS_Fcast_TO!Q18</f>
        <v>148.58571920852654</v>
      </c>
    </row>
    <row r="19" spans="4:17" s="22" customFormat="1" ht="10.5">
      <c r="D19" s="169" t="str">
        <f>IS_Hist_TA!D19</f>
        <v>Cost of Goods Sold</v>
      </c>
      <c r="J19" s="198">
        <f>IS_Hist_TO!J19+IS_Fcast_TO!J19</f>
        <v>-25</v>
      </c>
      <c r="K19" s="198">
        <f>IS_Hist_TO!K19+IS_Fcast_TO!K19</f>
        <v>-25.624999999999996</v>
      </c>
      <c r="L19" s="198">
        <f>IS_Hist_TO!L19+IS_Fcast_TO!L19</f>
        <v>-26.265624999999993</v>
      </c>
      <c r="M19" s="198">
        <f>IS_Hist_TO!M19+IS_Fcast_TO!M19</f>
        <v>-26.92226562499999</v>
      </c>
      <c r="N19" s="198">
        <f>IS_Hist_TO!N19+IS_Fcast_TO!N19</f>
        <v>-27.59532226562499</v>
      </c>
      <c r="O19" s="198">
        <f>IS_Hist_TO!O19+IS_Fcast_TO!O19</f>
        <v>-28.28520532226561</v>
      </c>
      <c r="P19" s="198">
        <f>IS_Hist_TO!P19+IS_Fcast_TO!P19</f>
        <v>-28.992335455322248</v>
      </c>
      <c r="Q19" s="198">
        <f>IS_Hist_TO!Q19+IS_Fcast_TO!Q19</f>
        <v>-29.7171438417053</v>
      </c>
    </row>
    <row r="20" spans="10:17" s="22" customFormat="1" ht="10.5">
      <c r="J20" s="137"/>
      <c r="K20" s="137"/>
      <c r="L20" s="137"/>
      <c r="M20" s="137"/>
      <c r="N20" s="137"/>
      <c r="O20" s="137"/>
      <c r="P20" s="137"/>
      <c r="Q20" s="137"/>
    </row>
    <row r="21" spans="3:17" s="22" customFormat="1" ht="11.25">
      <c r="C21" s="195"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8">
        <f>IS_Hist_TO!J23+IS_Fcast_TO!J23</f>
        <v>-40</v>
      </c>
      <c r="K23" s="198">
        <f>IS_Hist_TO!K23+IS_Fcast_TO!K23</f>
        <v>-41</v>
      </c>
      <c r="L23" s="198">
        <f>IS_Hist_TO!L23+IS_Fcast_TO!L23</f>
        <v>-42.025</v>
      </c>
      <c r="M23" s="198">
        <f>IS_Hist_TO!M23+IS_Fcast_TO!M23</f>
        <v>-43.075624999999995</v>
      </c>
      <c r="N23" s="198">
        <f>IS_Hist_TO!N23+IS_Fcast_TO!N23</f>
        <v>-44.15251562499999</v>
      </c>
      <c r="O23" s="198">
        <f>IS_Hist_TO!O23+IS_Fcast_TO!O23</f>
        <v>-45.256328515624986</v>
      </c>
      <c r="P23" s="198">
        <f>IS_Hist_TO!P23+IS_Fcast_TO!P23</f>
        <v>-46.387736728515605</v>
      </c>
      <c r="Q23" s="198">
        <f>IS_Hist_TO!Q23+IS_Fcast_TO!Q23</f>
        <v>-47.547430146728495</v>
      </c>
    </row>
    <row r="24" spans="10:17" s="22" customFormat="1" ht="10.5">
      <c r="J24" s="137"/>
      <c r="K24" s="137"/>
      <c r="L24" s="137"/>
      <c r="M24" s="137"/>
      <c r="N24" s="137"/>
      <c r="O24" s="137"/>
      <c r="P24" s="137"/>
      <c r="Q24" s="137"/>
    </row>
    <row r="25" spans="3:17" s="22" customFormat="1" ht="11.25">
      <c r="C25" s="195"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8">
        <f>IS_Hist_TA!J27</f>
        <v>-13.5</v>
      </c>
      <c r="K27" s="198">
        <f>IS_Hist_TA!K27</f>
        <v>-13.837499999999999</v>
      </c>
      <c r="L27" s="198">
        <f>IS_Hist_TA!L27</f>
        <v>-14.183437499999997</v>
      </c>
      <c r="M27" s="198">
        <f>IS_Hist_TA!M27</f>
        <v>-14.538023437499994</v>
      </c>
      <c r="N27" s="198">
        <f>IS_Hist_TA!N27</f>
        <v>-14.901474023437492</v>
      </c>
      <c r="O27" s="198">
        <f>IS_Hist_TA!O27</f>
        <v>-15.274010874023428</v>
      </c>
      <c r="P27" s="198">
        <f>IS_Hist_TA!P27</f>
        <v>-15.655861145874013</v>
      </c>
      <c r="Q27" s="198">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8">
        <f>IS_Hist_TO!J29+IS_Fcast_TO!J29</f>
        <v>-14.125</v>
      </c>
      <c r="K29" s="198">
        <f>IS_Hist_TO!K29+IS_Fcast_TO!K29</f>
        <v>-14.478124999999999</v>
      </c>
      <c r="L29" s="198">
        <f>IS_Hist_TO!L29+IS_Fcast_TO!L29</f>
        <v>-14.840078124999996</v>
      </c>
      <c r="M29" s="198">
        <f>IS_Hist_TO!M29+IS_Fcast_TO!M29</f>
        <v>-15.211080078124994</v>
      </c>
      <c r="N29" s="198">
        <f>IS_Hist_TO!N29+IS_Fcast_TO!N29</f>
        <v>-15.591357080078117</v>
      </c>
      <c r="O29" s="198">
        <f>IS_Hist_TO!O29+IS_Fcast_TO!O29</f>
        <v>-15.981141007080069</v>
      </c>
      <c r="P29" s="198">
        <f>IS_Hist_TO!P29+IS_Fcast_TO!P29</f>
        <v>-16.38066953225707</v>
      </c>
      <c r="Q29" s="198">
        <f>IS_Hist_TO!Q29+IS_Fcast_TO!Q29</f>
        <v>-16.790186270563492</v>
      </c>
    </row>
    <row r="30" spans="10:17" s="22" customFormat="1" ht="10.5">
      <c r="J30" s="137"/>
      <c r="K30" s="137"/>
      <c r="L30" s="137"/>
      <c r="M30" s="137"/>
      <c r="N30" s="137"/>
      <c r="O30" s="137"/>
      <c r="P30" s="137"/>
      <c r="Q30" s="137"/>
    </row>
    <row r="31" spans="3:17" s="22" customFormat="1" ht="11.25">
      <c r="C31" s="195"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8">
        <f>IS_Hist_TO!J33+IS_Fcast_TO!J33</f>
        <v>-3.25</v>
      </c>
      <c r="K33" s="198">
        <f>IS_Hist_TO!K33+IS_Fcast_TO!K33</f>
        <v>-3.25</v>
      </c>
      <c r="L33" s="198">
        <f>IS_Hist_TO!L33+IS_Fcast_TO!L33</f>
        <v>-3.25</v>
      </c>
      <c r="M33" s="198">
        <f>IS_Hist_TO!M33+IS_Fcast_TO!M33</f>
        <v>-3.25</v>
      </c>
      <c r="N33" s="198">
        <f>IS_Hist_TO!N33+IS_Fcast_TO!N33</f>
        <v>-3.4125</v>
      </c>
      <c r="O33" s="198">
        <f>IS_Hist_TO!O33+IS_Fcast_TO!O33</f>
        <v>-3.575</v>
      </c>
      <c r="P33" s="198">
        <f>IS_Hist_TO!P33+IS_Fcast_TO!P33</f>
        <v>-3.575</v>
      </c>
      <c r="Q33" s="198">
        <f>IS_Hist_TO!Q33+IS_Fcast_TO!Q33</f>
        <v>-3.575</v>
      </c>
    </row>
    <row r="34" spans="10:17" s="22" customFormat="1" ht="10.5">
      <c r="J34" s="137"/>
      <c r="K34" s="137"/>
      <c r="L34" s="137"/>
      <c r="M34" s="137"/>
      <c r="N34" s="137"/>
      <c r="O34" s="137"/>
      <c r="P34" s="137"/>
      <c r="Q34" s="137"/>
    </row>
    <row r="35" spans="3:17" s="22" customFormat="1" ht="11.25">
      <c r="C35" s="195"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8">
        <f>IS_Hist_TO!J37+IS_Fcast_TO!J37</f>
        <v>-12.7875</v>
      </c>
      <c r="K37" s="198">
        <f>IS_Hist_TO!K37+IS_Fcast_TO!K37</f>
        <v>-13.1315625</v>
      </c>
      <c r="L37" s="198">
        <f>IS_Hist_TO!L37+IS_Fcast_TO!L37</f>
        <v>-13.4842265625</v>
      </c>
      <c r="M37" s="198">
        <f>IS_Hist_TO!M37+IS_Fcast_TO!M37</f>
        <v>-13.845707226562503</v>
      </c>
      <c r="N37" s="198">
        <f>IS_Hist_TO!N37+IS_Fcast_TO!N37</f>
        <v>-14.167474907226566</v>
      </c>
      <c r="O37" s="198">
        <f>IS_Hist_TO!O37+IS_Fcast_TO!O37</f>
        <v>-14.498505529907227</v>
      </c>
      <c r="P37" s="198">
        <f>IS_Hist_TO!P37+IS_Fcast_TO!P37</f>
        <v>-14.887780668154907</v>
      </c>
      <c r="Q37" s="198">
        <f>IS_Hist_TO!Q37+IS_Fcast_TO!Q37</f>
        <v>-15.286787684858773</v>
      </c>
    </row>
    <row r="38" spans="10:17" s="22" customFormat="1" ht="10.5">
      <c r="J38" s="137"/>
      <c r="K38" s="137"/>
      <c r="L38" s="137"/>
      <c r="M38" s="137"/>
      <c r="N38" s="137"/>
      <c r="O38" s="137"/>
      <c r="P38" s="137"/>
      <c r="Q38" s="137"/>
    </row>
    <row r="39" spans="3:17" s="22" customFormat="1" ht="12.75" thickBot="1">
      <c r="C39" s="196"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3" t="str">
        <f>"Go to "&amp;BS_All_TO!$B$1</f>
        <v>Go to Balance Sheet - All Periods Outputs</v>
      </c>
      <c r="D41" s="236"/>
      <c r="E41" s="236"/>
      <c r="F41" s="236"/>
      <c r="G41" s="236"/>
      <c r="H41" s="236"/>
      <c r="I41" s="236"/>
    </row>
    <row r="42" spans="3:9" s="22" customFormat="1" ht="10.5">
      <c r="C42" s="233" t="str">
        <f>"Go to "&amp;CFS_All_TO!$B$1</f>
        <v>Go to Cash Flow Statement - All Periods Outputs</v>
      </c>
      <c r="D42" s="236"/>
      <c r="E42" s="236"/>
      <c r="F42" s="236"/>
      <c r="G42" s="236"/>
      <c r="H42" s="236"/>
      <c r="I42" s="236"/>
    </row>
    <row r="43" s="22" customFormat="1" ht="10.5"/>
    <row r="44" s="22" customFormat="1" ht="10.5">
      <c r="C44" s="165" t="str">
        <f>IS_Hist_TA!C43</f>
        <v>Notes</v>
      </c>
    </row>
    <row r="45" spans="3:4" s="22" customFormat="1" ht="10.5">
      <c r="C45" s="197">
        <f>IS_Hist_TA!C44</f>
        <v>1</v>
      </c>
      <c r="D45" s="193" t="str">
        <f>"All revenues and expenses are specified in "&amp;INDEX(LU_Denom,DD_TS_Denom)&amp;"."</f>
        <v>All revenues and expenses are specified in $Millions.</v>
      </c>
    </row>
    <row r="46" spans="3:4" s="22" customFormat="1" ht="10.5">
      <c r="C46" s="197">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4" t="str">
        <f>BS_Hist_TA!B16</f>
        <v>Balance Sheet</v>
      </c>
      <c r="I16" s="205" t="s">
        <v>531</v>
      </c>
    </row>
    <row r="17" s="22" customFormat="1" ht="10.5">
      <c r="I17" s="206">
        <f>TS_Start_Date</f>
        <v>40179</v>
      </c>
    </row>
    <row r="18" spans="3:13" s="22" customFormat="1" ht="11.25">
      <c r="C18" s="195" t="str">
        <f>BS_Hist_TA!C18</f>
        <v>Current Assets</v>
      </c>
      <c r="M18" s="215"/>
    </row>
    <row r="19" s="22" customFormat="1" ht="11.25">
      <c r="C19" s="195"/>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8">
        <f>IF(ISBLANK(I$12),BS_Hist_TO!$I$22,SUM(I20:I21))</f>
        <v>5</v>
      </c>
      <c r="J22" s="198">
        <f>IF(ISBLANK(J$12),BS_Hist_TO!$I$22,SUM(J20:J21))</f>
        <v>7.5</v>
      </c>
      <c r="K22" s="198">
        <f>IF(ISBLANK(K$12),BS_Hist_TO!$I$22,SUM(K20:K21))</f>
        <v>12.148336900684967</v>
      </c>
      <c r="L22" s="198">
        <f>IF(ISBLANK(L$12),BS_Hist_TO!$I$22,SUM(L20:L21))</f>
        <v>24.635307976188827</v>
      </c>
      <c r="M22" s="198">
        <f>IF(ISBLANK(M$12),BS_Hist_TO!$I$22,SUM(M20:M21))</f>
        <v>37.849752117669134</v>
      </c>
      <c r="N22" s="198">
        <f>IF(ISBLANK(N$12),BS_Hist_TO!$I$22,SUM(N20:N21))</f>
        <v>56.014020321295796</v>
      </c>
      <c r="O22" s="198">
        <f>IF(ISBLANK(O$12),BS_Hist_TO!$I$22,SUM(O20:O21))</f>
        <v>69.47909835501314</v>
      </c>
      <c r="P22" s="198">
        <f>IF(ISBLANK(P$12),BS_Hist_TO!$I$22,SUM(P20:P21))</f>
        <v>83.36671515610178</v>
      </c>
      <c r="Q22" s="198">
        <f>IF(ISBLANK(Q$12),BS_Hist_TO!$I$22,SUM(Q20:Q21))</f>
        <v>97.61580094874768</v>
      </c>
    </row>
    <row r="23" spans="4:17" s="22" customFormat="1" ht="10.5">
      <c r="D23" s="169" t="str">
        <f>BS_Hist_TA!D23</f>
        <v>Accounts Receivable</v>
      </c>
      <c r="I23" s="198">
        <f>IF(OR(ISBLANK(I$12),I$12&lt;=TS_Data_Full_Pers),BS_Hist_TO!I23,BS_Fcast_TO!I23)</f>
        <v>10.273972602739725</v>
      </c>
      <c r="J23" s="198">
        <f>IF(OR(ISBLANK(J$12),J$12&lt;=TS_Data_Full_Pers),BS_Hist_TO!J23,BS_Fcast_TO!J23)</f>
        <v>10.273972602739725</v>
      </c>
      <c r="K23" s="198">
        <f>IF(OR(ISBLANK(K$12),K$12&lt;=TS_Data_Full_Pers),BS_Hist_TO!K23,BS_Fcast_TO!K23)</f>
        <v>10.530821917808218</v>
      </c>
      <c r="L23" s="198">
        <f>IF(OR(ISBLANK(L$12),L$12&lt;=TS_Data_Full_Pers),BS_Hist_TO!L23,BS_Fcast_TO!L23)</f>
        <v>10.764600409836065</v>
      </c>
      <c r="M23" s="198">
        <f>IF(OR(ISBLANK(M$12),M$12&lt;=TS_Data_Full_Pers),BS_Hist_TO!M23,BS_Fcast_TO!M23)</f>
        <v>11.06394477739726</v>
      </c>
      <c r="N23" s="198">
        <f>IF(OR(ISBLANK(N$12),N$12&lt;=TS_Data_Full_Pers),BS_Hist_TO!N23,BS_Fcast_TO!N23)</f>
        <v>11.340543396832192</v>
      </c>
      <c r="O23" s="198">
        <f>IF(OR(ISBLANK(O$12),O$12&lt;=TS_Data_Full_Pers),BS_Hist_TO!O23,BS_Fcast_TO!O23)</f>
        <v>11.624056981752995</v>
      </c>
      <c r="P23" s="198">
        <f>IF(OR(ISBLANK(P$12),P$12&lt;=TS_Data_Full_Pers),BS_Hist_TO!P23,BS_Fcast_TO!P23)</f>
        <v>11.882104694804204</v>
      </c>
      <c r="Q23" s="198">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4">
        <f>I22+SUM(I23:I24)</f>
        <v>18.273972602739725</v>
      </c>
      <c r="J25" s="204">
        <f>J22+SUM(J23:J24)</f>
        <v>20.773972602739725</v>
      </c>
      <c r="K25" s="204">
        <f aca="true" t="shared" si="9" ref="K25:Q25">K22+SUM(K23:K24)</f>
        <v>26.679158818493185</v>
      </c>
      <c r="L25" s="204">
        <f t="shared" si="9"/>
        <v>40.39990838602489</v>
      </c>
      <c r="M25" s="204">
        <f t="shared" si="9"/>
        <v>54.913696895066394</v>
      </c>
      <c r="N25" s="204">
        <f t="shared" si="9"/>
        <v>74.35456371812799</v>
      </c>
      <c r="O25" s="204">
        <f t="shared" si="9"/>
        <v>89.10315533676612</v>
      </c>
      <c r="P25" s="204">
        <f t="shared" si="9"/>
        <v>104.24881985090599</v>
      </c>
      <c r="Q25" s="204">
        <f t="shared" si="9"/>
        <v>119.82832581520191</v>
      </c>
    </row>
    <row r="26" spans="9:17" s="22" customFormat="1" ht="10.5">
      <c r="I26" s="137"/>
      <c r="J26" s="137"/>
      <c r="K26" s="137"/>
      <c r="L26" s="137"/>
      <c r="M26" s="137"/>
      <c r="N26" s="137"/>
      <c r="O26" s="137"/>
      <c r="P26" s="137"/>
      <c r="Q26" s="137"/>
    </row>
    <row r="27" spans="3:17" s="22" customFormat="1" ht="11.25">
      <c r="C27" s="195"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8">
        <f>IF(OR(ISBLANK(I$12),I$12&lt;=TS_Data_Full_Pers),BS_Hist_TO!I29,BS_Fcast_TO!I29)</f>
        <v>146.5</v>
      </c>
      <c r="J29" s="198">
        <f>IF(OR(ISBLANK(J$12),J$12&lt;=TS_Data_Full_Pers),BS_Hist_TO!J29,BS_Fcast_TO!J29)</f>
        <v>146.5</v>
      </c>
      <c r="K29" s="198">
        <f>IF(OR(ISBLANK(K$12),K$12&lt;=TS_Data_Full_Pers),BS_Hist_TO!K29,BS_Fcast_TO!K29)</f>
        <v>148.0375</v>
      </c>
      <c r="L29" s="198">
        <f>IF(OR(ISBLANK(L$12),L$12&lt;=TS_Data_Full_Pers),BS_Hist_TO!L29,BS_Fcast_TO!L29)</f>
        <v>149.6134375</v>
      </c>
      <c r="M29" s="198">
        <f>IF(OR(ISBLANK(M$12),M$12&lt;=TS_Data_Full_Pers),BS_Hist_TO!M29,BS_Fcast_TO!M29)</f>
        <v>151.22877343750002</v>
      </c>
      <c r="N29" s="198">
        <f>IF(OR(ISBLANK(N$12),N$12&lt;=TS_Data_Full_Pers),BS_Hist_TO!N29,BS_Fcast_TO!N29)</f>
        <v>152.88449277343753</v>
      </c>
      <c r="O29" s="198">
        <f>IF(OR(ISBLANK(O$12),O$12&lt;=TS_Data_Full_Pers),BS_Hist_TO!O29,BS_Fcast_TO!O29)</f>
        <v>154.5816050927735</v>
      </c>
      <c r="P29" s="198">
        <f>IF(OR(ISBLANK(P$12),P$12&lt;=TS_Data_Full_Pers),BS_Hist_TO!P29,BS_Fcast_TO!P29)</f>
        <v>156.32114522009283</v>
      </c>
      <c r="Q29" s="198">
        <f>IF(OR(ISBLANK(Q$12),Q$12&lt;=TS_Data_Full_Pers),BS_Hist_TO!Q29,BS_Fcast_TO!Q29)</f>
        <v>158.10417385059515</v>
      </c>
    </row>
    <row r="30" spans="4:17" s="22" customFormat="1" ht="10.5">
      <c r="D30" s="169" t="str">
        <f>BS_Hist_TA!D30</f>
        <v>Intangibles</v>
      </c>
      <c r="I30" s="198">
        <f>IF(OR(ISBLANK(I$12),I$12&lt;=TS_Data_Full_Pers),BS_Hist_TO!I30,BS_Fcast_TO!I30)</f>
        <v>13.375</v>
      </c>
      <c r="J30" s="198">
        <f>IF(OR(ISBLANK(J$12),J$12&lt;=TS_Data_Full_Pers),BS_Hist_TO!J30,BS_Fcast_TO!J30)</f>
        <v>13.375</v>
      </c>
      <c r="K30" s="198">
        <f>IF(OR(ISBLANK(K$12),K$12&lt;=TS_Data_Full_Pers),BS_Hist_TO!K30,BS_Fcast_TO!K30)</f>
        <v>15.296875</v>
      </c>
      <c r="L30" s="198">
        <f>IF(OR(ISBLANK(L$12),L$12&lt;=TS_Data_Full_Pers),BS_Hist_TO!L30,BS_Fcast_TO!L30)</f>
        <v>17.266796874999997</v>
      </c>
      <c r="M30" s="198">
        <f>IF(OR(ISBLANK(M$12),M$12&lt;=TS_Data_Full_Pers),BS_Hist_TO!M30,BS_Fcast_TO!M30)</f>
        <v>19.285966796874998</v>
      </c>
      <c r="N30" s="198">
        <f>IF(OR(ISBLANK(N$12),N$12&lt;=TS_Data_Full_Pers),BS_Hist_TO!N30,BS_Fcast_TO!N30)</f>
        <v>21.355615966796872</v>
      </c>
      <c r="O30" s="198">
        <f>IF(OR(ISBLANK(O$12),O$12&lt;=TS_Data_Full_Pers),BS_Hist_TO!O30,BS_Fcast_TO!O30)</f>
        <v>23.477006365966794</v>
      </c>
      <c r="P30" s="198">
        <f>IF(OR(ISBLANK(P$12),P$12&lt;=TS_Data_Full_Pers),BS_Hist_TO!P30,BS_Fcast_TO!P30)</f>
        <v>25.651431525115964</v>
      </c>
      <c r="Q30" s="198">
        <f>IF(OR(ISBLANK(Q$12),Q$12&lt;=TS_Data_Full_Pers),BS_Hist_TO!Q30,BS_Fcast_TO!Q30)</f>
        <v>27.880217313243865</v>
      </c>
    </row>
    <row r="31" spans="4:17" s="22" customFormat="1" ht="10.5">
      <c r="D31" s="169" t="str">
        <f>BS_Hist_TA!D31</f>
        <v>Deferred Tax Assets</v>
      </c>
      <c r="I31" s="198">
        <f>IF(OR(ISBLANK(I$12),I$12&lt;=TS_Data_Full_Pers),BS_Hist_TO!I31,BS_Fcast_TO!I31)</f>
        <v>0</v>
      </c>
      <c r="J31" s="198">
        <f>IF(OR(ISBLANK(J$12),J$12&lt;=TS_Data_Full_Pers),BS_Hist_TO!J31,BS_Fcast_TO!J31)</f>
        <v>0</v>
      </c>
      <c r="K31" s="198">
        <f>IF(OR(ISBLANK(K$12),K$12&lt;=TS_Data_Full_Pers),BS_Hist_TO!K31,BS_Fcast_TO!K31)</f>
        <v>0</v>
      </c>
      <c r="L31" s="198">
        <f>IF(OR(ISBLANK(L$12),L$12&lt;=TS_Data_Full_Pers),BS_Hist_TO!L31,BS_Fcast_TO!L31)</f>
        <v>0</v>
      </c>
      <c r="M31" s="198">
        <f>IF(OR(ISBLANK(M$12),M$12&lt;=TS_Data_Full_Pers),BS_Hist_TO!M31,BS_Fcast_TO!M31)</f>
        <v>0</v>
      </c>
      <c r="N31" s="198">
        <f>IF(OR(ISBLANK(N$12),N$12&lt;=TS_Data_Full_Pers),BS_Hist_TO!N31,BS_Fcast_TO!N31)</f>
        <v>0</v>
      </c>
      <c r="O31" s="198">
        <f>IF(OR(ISBLANK(O$12),O$12&lt;=TS_Data_Full_Pers),BS_Hist_TO!O31,BS_Fcast_TO!O31)</f>
        <v>0</v>
      </c>
      <c r="P31" s="198">
        <f>IF(OR(ISBLANK(P$12),P$12&lt;=TS_Data_Full_Pers),BS_Hist_TO!P31,BS_Fcast_TO!P31)</f>
        <v>0</v>
      </c>
      <c r="Q31" s="198">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4">
        <f>SUM(I29:I32)</f>
        <v>163.875</v>
      </c>
      <c r="J33" s="204">
        <f>SUM(J29:J32)</f>
        <v>163.875</v>
      </c>
      <c r="K33" s="204">
        <f aca="true" t="shared" si="10" ref="K33:Q33">SUM(K29:K32)</f>
        <v>168.334375</v>
      </c>
      <c r="L33" s="204">
        <f t="shared" si="10"/>
        <v>172.880234375</v>
      </c>
      <c r="M33" s="204">
        <f t="shared" si="10"/>
        <v>177.514740234375</v>
      </c>
      <c r="N33" s="204">
        <f t="shared" si="10"/>
        <v>182.2401087402344</v>
      </c>
      <c r="O33" s="204">
        <f t="shared" si="10"/>
        <v>187.05861145874027</v>
      </c>
      <c r="P33" s="204">
        <f t="shared" si="10"/>
        <v>191.97257674520878</v>
      </c>
      <c r="Q33" s="204">
        <f t="shared" si="10"/>
        <v>196.984391163839</v>
      </c>
    </row>
    <row r="34" spans="9:17" s="22" customFormat="1" ht="10.5">
      <c r="I34" s="137"/>
      <c r="J34" s="137"/>
      <c r="K34" s="137"/>
      <c r="L34" s="137"/>
      <c r="M34" s="137"/>
      <c r="N34" s="137"/>
      <c r="O34" s="137"/>
      <c r="P34" s="137"/>
      <c r="Q34" s="137"/>
    </row>
    <row r="35" spans="3:17" s="22" customFormat="1" ht="11.25">
      <c r="C35" s="195"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5"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8">
        <f>IF(OR(ISBLANK(I$12),I$12&lt;=TS_Data_Full_Pers),BS_Hist_TO!I39,BS_Fcast_TO!I39)</f>
        <v>8.013698630136986</v>
      </c>
      <c r="J39" s="198">
        <f>IF(OR(ISBLANK(J$12),J$12&lt;=TS_Data_Full_Pers),BS_Hist_TO!J39,BS_Fcast_TO!J39)</f>
        <v>8.013698630136986</v>
      </c>
      <c r="K39" s="198">
        <f>IF(OR(ISBLANK(K$12),K$12&lt;=TS_Data_Full_Pers),BS_Hist_TO!K39,BS_Fcast_TO!K39)</f>
        <v>8.21404109589041</v>
      </c>
      <c r="L39" s="198">
        <f>IF(OR(ISBLANK(L$12),L$12&lt;=TS_Data_Full_Pers),BS_Hist_TO!L39,BS_Fcast_TO!L39)</f>
        <v>8.39638831967213</v>
      </c>
      <c r="M39" s="198">
        <f>IF(OR(ISBLANK(M$12),M$12&lt;=TS_Data_Full_Pers),BS_Hist_TO!M39,BS_Fcast_TO!M39)</f>
        <v>8.629876926369862</v>
      </c>
      <c r="N39" s="198">
        <f>IF(OR(ISBLANK(N$12),N$12&lt;=TS_Data_Full_Pers),BS_Hist_TO!N39,BS_Fcast_TO!N39)</f>
        <v>8.845623849529108</v>
      </c>
      <c r="O39" s="198">
        <f>IF(OR(ISBLANK(O$12),O$12&lt;=TS_Data_Full_Pers),BS_Hist_TO!O39,BS_Fcast_TO!O39)</f>
        <v>9.066764445767335</v>
      </c>
      <c r="P39" s="198">
        <f>IF(OR(ISBLANK(P$12),P$12&lt;=TS_Data_Full_Pers),BS_Hist_TO!P39,BS_Fcast_TO!P39)</f>
        <v>9.268041661947276</v>
      </c>
      <c r="Q39" s="198">
        <f>IF(OR(ISBLANK(Q$12),Q$12&lt;=TS_Data_Full_Pers),BS_Hist_TO!Q39,BS_Fcast_TO!Q39)</f>
        <v>9.525769395834304</v>
      </c>
    </row>
    <row r="40" spans="4:17" s="22" customFormat="1" ht="10.5">
      <c r="D40" s="169" t="str">
        <f>BS_Hist_TA!D40</f>
        <v>Tax Payable</v>
      </c>
      <c r="I40" s="198">
        <f>IF(OR(ISBLANK(I$12),I$12&lt;=TS_Data_Full_Pers),BS_Hist_TO!I40,BS_Fcast_TO!I40)</f>
        <v>12.787500000000001</v>
      </c>
      <c r="J40" s="198">
        <f>IF(OR(ISBLANK(J$12),J$12&lt;=TS_Data_Full_Pers),BS_Hist_TO!J40,BS_Fcast_TO!J40)</f>
        <v>12.787500000000001</v>
      </c>
      <c r="K40" s="198">
        <f>IF(OR(ISBLANK(K$12),K$12&lt;=TS_Data_Full_Pers),BS_Hist_TO!K40,BS_Fcast_TO!K40)</f>
        <v>13.131562500000003</v>
      </c>
      <c r="L40" s="198">
        <f>IF(OR(ISBLANK(L$12),L$12&lt;=TS_Data_Full_Pers),BS_Hist_TO!L40,BS_Fcast_TO!L40)</f>
        <v>13.484226562500004</v>
      </c>
      <c r="M40" s="198">
        <f>IF(OR(ISBLANK(M$12),M$12&lt;=TS_Data_Full_Pers),BS_Hist_TO!M40,BS_Fcast_TO!M40)</f>
        <v>13.845707226562505</v>
      </c>
      <c r="N40" s="198">
        <f>IF(OR(ISBLANK(N$12),N$12&lt;=TS_Data_Full_Pers),BS_Hist_TO!N40,BS_Fcast_TO!N40)</f>
        <v>14.16747490722657</v>
      </c>
      <c r="O40" s="198">
        <f>IF(OR(ISBLANK(O$12),O$12&lt;=TS_Data_Full_Pers),BS_Hist_TO!O40,BS_Fcast_TO!O40)</f>
        <v>14.49850552990723</v>
      </c>
      <c r="P40" s="198">
        <f>IF(OR(ISBLANK(P$12),P$12&lt;=TS_Data_Full_Pers),BS_Hist_TO!P40,BS_Fcast_TO!P40)</f>
        <v>14.88778066815491</v>
      </c>
      <c r="Q40" s="198">
        <f>IF(OR(ISBLANK(Q$12),Q$12&lt;=TS_Data_Full_Pers),BS_Hist_TO!Q40,BS_Fcast_TO!Q40)</f>
        <v>15.286787684858776</v>
      </c>
    </row>
    <row r="41" spans="4:17" s="22" customFormat="1" ht="10.5">
      <c r="D41" s="169" t="str">
        <f>BS_Hist_TA!D41</f>
        <v>Interest Payable</v>
      </c>
      <c r="I41" s="198">
        <f>IF(OR(ISBLANK(I$12),I$12&lt;=TS_Data_Full_Pers),BS_Hist_TO!I41,BS_Fcast_TO!I41)</f>
        <v>0</v>
      </c>
      <c r="J41" s="198">
        <f>IF(OR(ISBLANK(J$12),J$12&lt;=TS_Data_Full_Pers),BS_Hist_TO!J41,BS_Fcast_TO!J41)</f>
        <v>0</v>
      </c>
      <c r="K41" s="198">
        <f>IF(OR(ISBLANK(K$12),K$12&lt;=TS_Data_Full_Pers),BS_Hist_TO!K41,BS_Fcast_TO!K41)</f>
        <v>0</v>
      </c>
      <c r="L41" s="198">
        <f>IF(OR(ISBLANK(L$12),L$12&lt;=TS_Data_Full_Pers),BS_Hist_TO!L41,BS_Fcast_TO!L41)</f>
        <v>0</v>
      </c>
      <c r="M41" s="198">
        <f>IF(OR(ISBLANK(M$12),M$12&lt;=TS_Data_Full_Pers),BS_Hist_TO!M41,BS_Fcast_TO!M41)</f>
        <v>0</v>
      </c>
      <c r="N41" s="198">
        <f>IF(OR(ISBLANK(N$12),N$12&lt;=TS_Data_Full_Pers),BS_Hist_TO!N41,BS_Fcast_TO!N41)</f>
        <v>0</v>
      </c>
      <c r="O41" s="198">
        <f>IF(OR(ISBLANK(O$12),O$12&lt;=TS_Data_Full_Pers),BS_Hist_TO!O41,BS_Fcast_TO!O41)</f>
        <v>0</v>
      </c>
      <c r="P41" s="198">
        <f>IF(OR(ISBLANK(P$12),P$12&lt;=TS_Data_Full_Pers),BS_Hist_TO!P41,BS_Fcast_TO!P41)</f>
        <v>0</v>
      </c>
      <c r="Q41" s="198">
        <f>IF(OR(ISBLANK(Q$12),Q$12&lt;=TS_Data_Full_Pers),BS_Hist_TO!Q41,BS_Fcast_TO!Q41)</f>
        <v>0</v>
      </c>
    </row>
    <row r="42" spans="4:17" s="22" customFormat="1" ht="10.5">
      <c r="D42" s="169" t="str">
        <f>BS_Hist_TA!D42</f>
        <v>Ordinary Equity Dividends Payable</v>
      </c>
      <c r="I42" s="198">
        <f>IF(OR(ISBLANK(I$12),I$12&lt;=TS_Data_Full_Pers),BS_Hist_TO!I42,BS_Fcast_TO!I42)</f>
        <v>0</v>
      </c>
      <c r="J42" s="198">
        <f>IF(OR(ISBLANK(J$12),J$12&lt;=TS_Data_Full_Pers),BS_Hist_TO!J42,BS_Fcast_TO!J42)</f>
        <v>0</v>
      </c>
      <c r="K42" s="198">
        <f>IF(OR(ISBLANK(K$12),K$12&lt;=TS_Data_Full_Pers),BS_Hist_TO!K42,BS_Fcast_TO!K42)</f>
        <v>0</v>
      </c>
      <c r="L42" s="198">
        <f>IF(OR(ISBLANK(L$12),L$12&lt;=TS_Data_Full_Pers),BS_Hist_TO!L42,BS_Fcast_TO!L42)</f>
        <v>0</v>
      </c>
      <c r="M42" s="198">
        <f>IF(OR(ISBLANK(M$12),M$12&lt;=TS_Data_Full_Pers),BS_Hist_TO!M42,BS_Fcast_TO!M42)</f>
        <v>0</v>
      </c>
      <c r="N42" s="198">
        <f>IF(OR(ISBLANK(N$12),N$12&lt;=TS_Data_Full_Pers),BS_Hist_TO!N42,BS_Fcast_TO!N42)</f>
        <v>0</v>
      </c>
      <c r="O42" s="198">
        <f>IF(OR(ISBLANK(O$12),O$12&lt;=TS_Data_Full_Pers),BS_Hist_TO!O42,BS_Fcast_TO!O42)</f>
        <v>0</v>
      </c>
      <c r="P42" s="198">
        <f>IF(OR(ISBLANK(P$12),P$12&lt;=TS_Data_Full_Pers),BS_Hist_TO!P42,BS_Fcast_TO!P42)</f>
        <v>0</v>
      </c>
      <c r="Q42" s="198">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4">
        <f>SUM(I39:I43)</f>
        <v>25.801198630136987</v>
      </c>
      <c r="J44" s="204">
        <f>SUM(J39:J43)</f>
        <v>25.801198630136987</v>
      </c>
      <c r="K44" s="204">
        <f aca="true" t="shared" si="12" ref="K44:Q44">SUM(K39:K43)</f>
        <v>27.345603595890413</v>
      </c>
      <c r="L44" s="204">
        <f t="shared" si="12"/>
        <v>28.880614882172132</v>
      </c>
      <c r="M44" s="204">
        <f t="shared" si="12"/>
        <v>30.475584152932367</v>
      </c>
      <c r="N44" s="204">
        <f t="shared" si="12"/>
        <v>32.01309875675568</v>
      </c>
      <c r="O44" s="204">
        <f t="shared" si="12"/>
        <v>33.56526997567457</v>
      </c>
      <c r="P44" s="204">
        <f t="shared" si="12"/>
        <v>35.15582233010218</v>
      </c>
      <c r="Q44" s="204">
        <f t="shared" si="12"/>
        <v>36.81255708069308</v>
      </c>
    </row>
    <row r="45" spans="9:17" s="22" customFormat="1" ht="10.5">
      <c r="I45" s="137"/>
      <c r="J45" s="137"/>
      <c r="K45" s="137"/>
      <c r="L45" s="137"/>
      <c r="M45" s="137"/>
      <c r="N45" s="137"/>
      <c r="O45" s="137"/>
      <c r="P45" s="137"/>
      <c r="Q45" s="137"/>
    </row>
    <row r="46" spans="3:17" s="22" customFormat="1" ht="11.25">
      <c r="C46" s="195"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8">
        <f>IF(OR(ISBLANK(I$12),I$12&lt;=TS_Data_Full_Pers),BS_Hist_TO!I48,BS_Fcast_TO!I48)</f>
        <v>50</v>
      </c>
      <c r="J48" s="198">
        <f>IF(OR(ISBLANK(J$12),J$12&lt;=TS_Data_Full_Pers),BS_Hist_TO!J48,BS_Fcast_TO!J48)</f>
        <v>50</v>
      </c>
      <c r="K48" s="198">
        <f>IF(OR(ISBLANK(K$12),K$12&lt;=TS_Data_Full_Pers),BS_Hist_TO!K48,BS_Fcast_TO!K48)</f>
        <v>50</v>
      </c>
      <c r="L48" s="198">
        <f>IF(OR(ISBLANK(L$12),L$12&lt;=TS_Data_Full_Pers),BS_Hist_TO!L48,BS_Fcast_TO!L48)</f>
        <v>50</v>
      </c>
      <c r="M48" s="198">
        <f>IF(OR(ISBLANK(M$12),M$12&lt;=TS_Data_Full_Pers),BS_Hist_TO!M48,BS_Fcast_TO!M48)</f>
        <v>50</v>
      </c>
      <c r="N48" s="198">
        <f>IF(OR(ISBLANK(N$12),N$12&lt;=TS_Data_Full_Pers),BS_Hist_TO!N48,BS_Fcast_TO!N48)</f>
        <v>55</v>
      </c>
      <c r="O48" s="198">
        <f>IF(OR(ISBLANK(O$12),O$12&lt;=TS_Data_Full_Pers),BS_Hist_TO!O48,BS_Fcast_TO!O48)</f>
        <v>55</v>
      </c>
      <c r="P48" s="198">
        <f>IF(OR(ISBLANK(P$12),P$12&lt;=TS_Data_Full_Pers),BS_Hist_TO!P48,BS_Fcast_TO!P48)</f>
        <v>55</v>
      </c>
      <c r="Q48" s="198">
        <f>IF(OR(ISBLANK(Q$12),Q$12&lt;=TS_Data_Full_Pers),BS_Hist_TO!Q48,BS_Fcast_TO!Q48)</f>
        <v>55</v>
      </c>
    </row>
    <row r="49" spans="4:17" s="22" customFormat="1" ht="10.5">
      <c r="D49" s="169" t="str">
        <f>BS_Hist_TA!D49</f>
        <v>Deferred Tax Liabilities</v>
      </c>
      <c r="I49" s="198">
        <f>IF(OR(ISBLANK(I$12),I$12&lt;=TS_Data_Full_Pers),BS_Hist_TO!I49,BS_Fcast_TO!I49)</f>
        <v>0</v>
      </c>
      <c r="J49" s="198">
        <f>IF(OR(ISBLANK(J$12),J$12&lt;=TS_Data_Full_Pers),BS_Hist_TO!J49,BS_Fcast_TO!J49)</f>
        <v>0</v>
      </c>
      <c r="K49" s="198">
        <f>IF(OR(ISBLANK(K$12),K$12&lt;=TS_Data_Full_Pers),BS_Hist_TO!K49,BS_Fcast_TO!K49)</f>
        <v>0</v>
      </c>
      <c r="L49" s="198">
        <f>IF(OR(ISBLANK(L$12),L$12&lt;=TS_Data_Full_Pers),BS_Hist_TO!L49,BS_Fcast_TO!L49)</f>
        <v>0</v>
      </c>
      <c r="M49" s="198">
        <f>IF(OR(ISBLANK(M$12),M$12&lt;=TS_Data_Full_Pers),BS_Hist_TO!M49,BS_Fcast_TO!M49)</f>
        <v>0</v>
      </c>
      <c r="N49" s="198">
        <f>IF(OR(ISBLANK(N$12),N$12&lt;=TS_Data_Full_Pers),BS_Hist_TO!N49,BS_Fcast_TO!N49)</f>
        <v>0</v>
      </c>
      <c r="O49" s="198">
        <f>IF(OR(ISBLANK(O$12),O$12&lt;=TS_Data_Full_Pers),BS_Hist_TO!O49,BS_Fcast_TO!O49)</f>
        <v>0</v>
      </c>
      <c r="P49" s="198">
        <f>IF(OR(ISBLANK(P$12),P$12&lt;=TS_Data_Full_Pers),BS_Hist_TO!P49,BS_Fcast_TO!P49)</f>
        <v>0</v>
      </c>
      <c r="Q49" s="198">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4">
        <f>SUM(I48:I50)</f>
        <v>56</v>
      </c>
      <c r="J51" s="204">
        <f>SUM(J48:J50)</f>
        <v>56</v>
      </c>
      <c r="K51" s="204">
        <f aca="true" t="shared" si="13" ref="K51:Q51">SUM(K48:K50)</f>
        <v>57</v>
      </c>
      <c r="L51" s="204">
        <f t="shared" si="13"/>
        <v>58</v>
      </c>
      <c r="M51" s="204">
        <f t="shared" si="13"/>
        <v>59</v>
      </c>
      <c r="N51" s="204">
        <f t="shared" si="13"/>
        <v>65</v>
      </c>
      <c r="O51" s="204">
        <f t="shared" si="13"/>
        <v>66</v>
      </c>
      <c r="P51" s="204">
        <f t="shared" si="13"/>
        <v>67</v>
      </c>
      <c r="Q51" s="204">
        <f t="shared" si="13"/>
        <v>68</v>
      </c>
    </row>
    <row r="52" spans="9:17" s="22" customFormat="1" ht="10.5">
      <c r="I52" s="137"/>
      <c r="J52" s="137"/>
      <c r="K52" s="137"/>
      <c r="L52" s="137"/>
      <c r="M52" s="137"/>
      <c r="N52" s="137"/>
      <c r="O52" s="137"/>
      <c r="P52" s="137"/>
      <c r="Q52" s="137"/>
    </row>
    <row r="53" spans="3:17" s="22" customFormat="1" ht="11.25">
      <c r="C53" s="195"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5"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5"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8">
        <f>IF(OR(ISBLANK(I$12),I$12&lt;=TS_Data_Full_Pers),BS_Hist_TO!I59,BS_Fcast_TO!I59)</f>
        <v>75</v>
      </c>
      <c r="J59" s="198">
        <f>IF(OR(ISBLANK(J$12),J$12&lt;=TS_Data_Full_Pers),BS_Hist_TO!J59,BS_Fcast_TO!J59)</f>
        <v>75</v>
      </c>
      <c r="K59" s="198">
        <f>IF(OR(ISBLANK(K$12),K$12&lt;=TS_Data_Full_Pers),BS_Hist_TO!K59,BS_Fcast_TO!K59)</f>
        <v>75</v>
      </c>
      <c r="L59" s="198">
        <f>IF(OR(ISBLANK(L$12),L$12&lt;=TS_Data_Full_Pers),BS_Hist_TO!L59,BS_Fcast_TO!L59)</f>
        <v>75</v>
      </c>
      <c r="M59" s="198">
        <f>IF(OR(ISBLANK(M$12),M$12&lt;=TS_Data_Full_Pers),BS_Hist_TO!M59,BS_Fcast_TO!M59)</f>
        <v>75</v>
      </c>
      <c r="N59" s="198">
        <f>IF(OR(ISBLANK(N$12),N$12&lt;=TS_Data_Full_Pers),BS_Hist_TO!N59,BS_Fcast_TO!N59)</f>
        <v>75</v>
      </c>
      <c r="O59" s="198">
        <f>IF(OR(ISBLANK(O$12),O$12&lt;=TS_Data_Full_Pers),BS_Hist_TO!O59,BS_Fcast_TO!O59)</f>
        <v>75</v>
      </c>
      <c r="P59" s="198">
        <f>IF(OR(ISBLANK(P$12),P$12&lt;=TS_Data_Full_Pers),BS_Hist_TO!P59,BS_Fcast_TO!P59)</f>
        <v>75</v>
      </c>
      <c r="Q59" s="198">
        <f>IF(OR(ISBLANK(Q$12),Q$12&lt;=TS_Data_Full_Pers),BS_Hist_TO!Q59,BS_Fcast_TO!Q59)</f>
        <v>75</v>
      </c>
    </row>
    <row r="60" spans="4:17" s="22" customFormat="1" ht="10.5">
      <c r="D60" s="169" t="str">
        <f>BS_Hist_TA!D60</f>
        <v>Other Equity</v>
      </c>
      <c r="I60" s="198">
        <f>IF(OR(ISBLANK(I$12),I$12&lt;=TS_Data_Full_Pers),BS_Hist_TO!I60,BS_Fcast_TO!I60)</f>
        <v>5</v>
      </c>
      <c r="J60" s="198">
        <f>IF(OR(ISBLANK(J$12),J$12&lt;=TS_Data_Full_Pers),BS_Hist_TO!J60,BS_Fcast_TO!J60)</f>
        <v>5</v>
      </c>
      <c r="K60" s="198">
        <f>IF(OR(ISBLANK(K$12),K$12&lt;=TS_Data_Full_Pers),BS_Hist_TO!K60,BS_Fcast_TO!K60)</f>
        <v>5</v>
      </c>
      <c r="L60" s="198">
        <f>IF(OR(ISBLANK(L$12),L$12&lt;=TS_Data_Full_Pers),BS_Hist_TO!L60,BS_Fcast_TO!L60)</f>
        <v>5</v>
      </c>
      <c r="M60" s="198">
        <f>IF(OR(ISBLANK(M$12),M$12&lt;=TS_Data_Full_Pers),BS_Hist_TO!M60,BS_Fcast_TO!M60)</f>
        <v>5.399999999999999</v>
      </c>
      <c r="N60" s="198">
        <f>IF(OR(ISBLANK(N$12),N$12&lt;=TS_Data_Full_Pers),BS_Hist_TO!N60,BS_Fcast_TO!N60)</f>
        <v>5.499999999999998</v>
      </c>
      <c r="O60" s="198">
        <f>IF(OR(ISBLANK(O$12),O$12&lt;=TS_Data_Full_Pers),BS_Hist_TO!O60,BS_Fcast_TO!O60)</f>
        <v>5.599999999999998</v>
      </c>
      <c r="P60" s="198">
        <f>IF(OR(ISBLANK(P$12),P$12&lt;=TS_Data_Full_Pers),BS_Hist_TO!P60,BS_Fcast_TO!P60)</f>
        <v>5.6999999999999975</v>
      </c>
      <c r="Q60" s="198">
        <f>IF(OR(ISBLANK(Q$12),Q$12&lt;=TS_Data_Full_Pers),BS_Hist_TO!Q60,BS_Fcast_TO!Q60)</f>
        <v>5.799999999999997</v>
      </c>
    </row>
    <row r="61" spans="4:17" s="22" customFormat="1" ht="10.5" hidden="1" outlineLevel="2">
      <c r="D61" s="169"/>
      <c r="E61" s="6" t="s">
        <v>245</v>
      </c>
      <c r="J61" s="198">
        <f>I66</f>
        <v>20.347773972602738</v>
      </c>
      <c r="K61" s="198">
        <f aca="true" t="shared" si="16" ref="K61:Q61">J66</f>
        <v>22.847773972602738</v>
      </c>
      <c r="L61" s="198">
        <f t="shared" si="16"/>
        <v>30.667930222602777</v>
      </c>
      <c r="M61" s="198">
        <f t="shared" si="16"/>
        <v>46.39952787885275</v>
      </c>
      <c r="N61" s="198">
        <f t="shared" si="16"/>
        <v>62.552852976509</v>
      </c>
      <c r="O61" s="198">
        <f t="shared" si="16"/>
        <v>79.08157370160666</v>
      </c>
      <c r="P61" s="198">
        <f t="shared" si="16"/>
        <v>95.99649681983176</v>
      </c>
      <c r="Q61" s="198">
        <f t="shared" si="16"/>
        <v>113.3655742660125</v>
      </c>
    </row>
    <row r="62" spans="4:17" s="22" customFormat="1" ht="10.5" hidden="1" outlineLevel="2">
      <c r="D62" s="169"/>
      <c r="E62" s="6" t="s">
        <v>561</v>
      </c>
      <c r="J62" s="198">
        <f>BS_Hist_TO!J62</f>
        <v>2.5</v>
      </c>
      <c r="K62" s="198">
        <f>BS_Hist_TO!K62</f>
        <v>7.820156250000039</v>
      </c>
      <c r="L62" s="198">
        <f>BS_Hist_TO!L62</f>
        <v>15.731597656249974</v>
      </c>
      <c r="M62" s="198">
        <f>BS_Hist_TO!M62</f>
        <v>0</v>
      </c>
      <c r="N62" s="198">
        <f>BS_Hist_TO!N62</f>
        <v>0</v>
      </c>
      <c r="O62" s="198">
        <f>BS_Hist_TO!O62</f>
        <v>0</v>
      </c>
      <c r="P62" s="198">
        <f>BS_Hist_TO!P62</f>
        <v>0</v>
      </c>
      <c r="Q62" s="198">
        <f>BS_Hist_TO!Q62</f>
        <v>0</v>
      </c>
    </row>
    <row r="63" spans="4:17" s="22" customFormat="1" ht="10.5" hidden="1" outlineLevel="2">
      <c r="D63" s="169"/>
      <c r="E63" s="6" t="s">
        <v>555</v>
      </c>
      <c r="J63" s="198">
        <f>BS_Hist_TO!J63</f>
        <v>0</v>
      </c>
      <c r="K63" s="198">
        <f>BS_Hist_TO!K63</f>
        <v>0</v>
      </c>
      <c r="L63" s="198">
        <f>BS_Hist_TO!L63</f>
        <v>0</v>
      </c>
      <c r="M63" s="198">
        <f>BS_Hist_TO!M63</f>
        <v>0</v>
      </c>
      <c r="N63" s="198">
        <f>BS_Hist_TO!N63</f>
        <v>0</v>
      </c>
      <c r="O63" s="198">
        <f>BS_Hist_TO!O63</f>
        <v>0</v>
      </c>
      <c r="P63" s="198">
        <f>BS_Hist_TO!P63</f>
        <v>0</v>
      </c>
      <c r="Q63" s="198">
        <f>BS_Hist_TO!Q63</f>
        <v>0</v>
      </c>
    </row>
    <row r="64" spans="4:17" s="22" customFormat="1" ht="10.5" hidden="1" outlineLevel="2">
      <c r="D64" s="140"/>
      <c r="E64" s="6" t="s">
        <v>562</v>
      </c>
      <c r="J64" s="198">
        <f>BS_Fcast_TO!J62</f>
        <v>0</v>
      </c>
      <c r="K64" s="198">
        <f>BS_Fcast_TO!K62</f>
        <v>0</v>
      </c>
      <c r="L64" s="198">
        <f>BS_Fcast_TO!L62</f>
        <v>0</v>
      </c>
      <c r="M64" s="198">
        <f>BS_Fcast_TO!M62</f>
        <v>32.30665019531251</v>
      </c>
      <c r="N64" s="198">
        <f>BS_Fcast_TO!N62</f>
        <v>33.05744145019533</v>
      </c>
      <c r="O64" s="198">
        <f>BS_Fcast_TO!O62</f>
        <v>33.8298462364502</v>
      </c>
      <c r="P64" s="198">
        <f>BS_Fcast_TO!P62</f>
        <v>34.73815489236145</v>
      </c>
      <c r="Q64" s="198">
        <f>BS_Fcast_TO!Q62</f>
        <v>35.669171264670474</v>
      </c>
    </row>
    <row r="65" spans="5:17" s="22" customFormat="1" ht="10.5" hidden="1" outlineLevel="2">
      <c r="E65" s="6" t="s">
        <v>563</v>
      </c>
      <c r="I65" s="214"/>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8">
        <f>IF(ISBLANK(I$12),BS_Hist_TO!$I$64,SUM(I61:I65))</f>
        <v>20.347773972602738</v>
      </c>
      <c r="J66" s="198">
        <f>IF(ISBLANK(J$12),BS_Hist_TO!$I$64,SUM(J61:J65))</f>
        <v>22.847773972602738</v>
      </c>
      <c r="K66" s="198">
        <f>IF(ISBLANK(K$12),BS_Hist_TO!$I$64,SUM(K61:K65))</f>
        <v>30.667930222602777</v>
      </c>
      <c r="L66" s="198">
        <f>IF(ISBLANK(L$12),BS_Hist_TO!$I$64,SUM(L61:L65))</f>
        <v>46.39952787885275</v>
      </c>
      <c r="M66" s="198">
        <f>IF(ISBLANK(M$12),BS_Hist_TO!$I$64,SUM(M61:M65))</f>
        <v>62.552852976509</v>
      </c>
      <c r="N66" s="198">
        <f>IF(ISBLANK(N$12),BS_Hist_TO!$I$64,SUM(N61:N65))</f>
        <v>79.08157370160666</v>
      </c>
      <c r="O66" s="198">
        <f>IF(ISBLANK(O$12),BS_Hist_TO!$I$64,SUM(O61:O65))</f>
        <v>95.99649681983176</v>
      </c>
      <c r="P66" s="198">
        <f>IF(ISBLANK(P$12),BS_Hist_TO!$I$64,SUM(P61:P65))</f>
        <v>113.3655742660125</v>
      </c>
      <c r="Q66" s="198">
        <f>IF(ISBLANK(Q$12),BS_Hist_TO!$I$64,SUM(Q61:Q65))</f>
        <v>131.20015989834775</v>
      </c>
    </row>
    <row r="67" spans="9:17" s="22" customFormat="1" ht="10.5">
      <c r="I67" s="137"/>
      <c r="J67" s="137"/>
      <c r="K67" s="137"/>
      <c r="L67" s="137"/>
      <c r="M67" s="137"/>
      <c r="N67" s="137"/>
      <c r="O67" s="137"/>
      <c r="P67" s="137"/>
      <c r="Q67" s="137"/>
    </row>
    <row r="68" spans="3:17" s="22" customFormat="1" ht="11.25">
      <c r="C68" s="195"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3" t="str">
        <f>"Go to "&amp;IS_All_TO!$B$1</f>
        <v>Go to Income Statement - All Periods Outputs</v>
      </c>
      <c r="D76" s="236"/>
      <c r="E76" s="236"/>
      <c r="F76" s="236"/>
      <c r="G76" s="236"/>
      <c r="H76" s="236"/>
    </row>
    <row r="77" spans="3:8" s="22" customFormat="1" ht="10.5">
      <c r="C77" s="233" t="str">
        <f>"Go to "&amp;CFS_All_TO!$B$1</f>
        <v>Go to Cash Flow Statement - All Periods Outputs</v>
      </c>
      <c r="D77" s="236"/>
      <c r="E77" s="236"/>
      <c r="F77" s="236"/>
      <c r="G77" s="236"/>
      <c r="H77" s="236"/>
    </row>
    <row r="78" s="22" customFormat="1" ht="10.5"/>
    <row r="79" s="22" customFormat="1" ht="10.5">
      <c r="C79" s="165" t="str">
        <f>BS_Hist_TA!C77</f>
        <v>Notes</v>
      </c>
    </row>
    <row r="80" spans="3:4" s="22" customFormat="1" ht="10.5">
      <c r="C80" s="197">
        <f>BS_Hist_TA!C78</f>
        <v>1</v>
      </c>
      <c r="D80" s="193"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1. General Concepts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7">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1. General Concepts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1. General Concepts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1. General Concepts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58" t="s">
        <v>591</v>
      </c>
      <c r="H9" s="258"/>
      <c r="I9" s="258"/>
      <c r="J9" s="258"/>
      <c r="K9" s="258"/>
      <c r="L9" s="258"/>
      <c r="M9" s="258"/>
    </row>
    <row r="10" spans="3:13" ht="11.25" customHeight="1">
      <c r="C10" s="256"/>
      <c r="D10" s="256"/>
      <c r="E10" s="256"/>
      <c r="F10" s="256"/>
      <c r="G10" s="258"/>
      <c r="H10" s="258"/>
      <c r="I10" s="258"/>
      <c r="J10" s="258"/>
      <c r="K10" s="258"/>
      <c r="L10" s="258"/>
      <c r="M10" s="258"/>
    </row>
    <row r="11" spans="3:13" ht="10.5">
      <c r="C11" s="255"/>
      <c r="D11" s="255"/>
      <c r="E11" s="255"/>
      <c r="F11" s="255"/>
      <c r="G11" s="258"/>
      <c r="H11" s="258"/>
      <c r="I11" s="258"/>
      <c r="J11" s="258"/>
      <c r="K11" s="258"/>
      <c r="L11" s="258"/>
      <c r="M11" s="258"/>
    </row>
    <row r="12" spans="3:13" ht="4.5" customHeight="1">
      <c r="C12" s="255"/>
      <c r="D12" s="255"/>
      <c r="E12" s="255"/>
      <c r="F12" s="255"/>
      <c r="G12" s="167"/>
      <c r="H12" s="167"/>
      <c r="I12" s="167"/>
      <c r="J12" s="167"/>
      <c r="K12" s="167"/>
      <c r="L12" s="167"/>
      <c r="M12" s="167"/>
    </row>
    <row r="13" spans="3:13" ht="11.25" customHeight="1">
      <c r="C13" s="256" t="s">
        <v>210</v>
      </c>
      <c r="D13" s="256"/>
      <c r="E13" s="256"/>
      <c r="F13" s="256"/>
      <c r="G13" s="258" t="s">
        <v>211</v>
      </c>
      <c r="H13" s="258"/>
      <c r="I13" s="258"/>
      <c r="J13" s="258"/>
      <c r="K13" s="258"/>
      <c r="L13" s="258"/>
      <c r="M13" s="258"/>
    </row>
    <row r="14" spans="3:13" ht="4.5" customHeight="1">
      <c r="C14" s="255"/>
      <c r="D14" s="255"/>
      <c r="E14" s="255"/>
      <c r="F14" s="255"/>
      <c r="G14" s="168"/>
      <c r="H14" s="168"/>
      <c r="I14" s="168"/>
      <c r="J14" s="168"/>
      <c r="K14" s="168"/>
      <c r="L14" s="168"/>
      <c r="M14" s="168"/>
    </row>
    <row r="15" spans="3:13" ht="10.5">
      <c r="C15" s="255"/>
      <c r="D15" s="255"/>
      <c r="E15" s="255"/>
      <c r="F15" s="255"/>
      <c r="G15" s="260" t="s">
        <v>592</v>
      </c>
      <c r="H15" s="260"/>
      <c r="I15" s="260"/>
      <c r="J15" s="260"/>
      <c r="K15" s="260"/>
      <c r="L15" s="260"/>
      <c r="M15" s="260"/>
    </row>
    <row r="16" spans="3:13" ht="10.5">
      <c r="C16" s="255"/>
      <c r="D16" s="255"/>
      <c r="E16" s="255"/>
      <c r="F16" s="255"/>
      <c r="G16" s="260" t="s">
        <v>520</v>
      </c>
      <c r="H16" s="260"/>
      <c r="I16" s="260"/>
      <c r="J16" s="260"/>
      <c r="K16" s="260"/>
      <c r="L16" s="260"/>
      <c r="M16" s="260"/>
    </row>
    <row r="17" spans="3:13" ht="10.5">
      <c r="C17" s="255"/>
      <c r="D17" s="255"/>
      <c r="E17" s="255"/>
      <c r="F17" s="255"/>
      <c r="G17" s="260" t="s">
        <v>521</v>
      </c>
      <c r="H17" s="260"/>
      <c r="I17" s="260"/>
      <c r="J17" s="260"/>
      <c r="K17" s="260"/>
      <c r="L17" s="260"/>
      <c r="M17" s="260"/>
    </row>
    <row r="18" spans="3:13" ht="4.5" customHeight="1">
      <c r="C18" s="255"/>
      <c r="D18" s="255"/>
      <c r="E18" s="255"/>
      <c r="F18" s="255"/>
      <c r="G18" s="167"/>
      <c r="H18" s="167"/>
      <c r="I18" s="167"/>
      <c r="J18" s="167"/>
      <c r="K18" s="167"/>
      <c r="L18" s="167"/>
      <c r="M18" s="167"/>
    </row>
    <row r="19" spans="3:13" ht="11.25" customHeight="1">
      <c r="C19" s="256" t="s">
        <v>212</v>
      </c>
      <c r="D19" s="256"/>
      <c r="E19" s="256"/>
      <c r="F19" s="256"/>
      <c r="G19" s="258" t="s">
        <v>519</v>
      </c>
      <c r="H19" s="258"/>
      <c r="I19" s="258"/>
      <c r="J19" s="258"/>
      <c r="K19" s="258"/>
      <c r="L19" s="258"/>
      <c r="M19" s="258"/>
    </row>
    <row r="20" spans="3:13" ht="4.5" customHeight="1">
      <c r="C20" s="255"/>
      <c r="D20" s="255"/>
      <c r="E20" s="255"/>
      <c r="F20" s="255"/>
      <c r="G20" s="167"/>
      <c r="H20" s="167"/>
      <c r="I20" s="167"/>
      <c r="J20" s="167"/>
      <c r="K20" s="167"/>
      <c r="L20" s="167"/>
      <c r="M20" s="167"/>
    </row>
    <row r="21" spans="3:13" ht="11.25" customHeight="1">
      <c r="C21" s="256" t="s">
        <v>213</v>
      </c>
      <c r="D21" s="256"/>
      <c r="E21" s="256"/>
      <c r="F21" s="256"/>
      <c r="G21" s="258" t="s">
        <v>593</v>
      </c>
      <c r="H21" s="258"/>
      <c r="I21" s="258"/>
      <c r="J21" s="258"/>
      <c r="K21" s="258"/>
      <c r="L21" s="258"/>
      <c r="M21" s="258"/>
    </row>
    <row r="22" spans="3:13" ht="4.5" customHeight="1">
      <c r="C22" s="259"/>
      <c r="D22" s="259"/>
      <c r="E22" s="259"/>
      <c r="F22" s="259"/>
      <c r="G22" s="167"/>
      <c r="H22" s="167"/>
      <c r="I22" s="167"/>
      <c r="J22" s="167"/>
      <c r="K22" s="167"/>
      <c r="L22" s="167"/>
      <c r="M22" s="167"/>
    </row>
    <row r="23" spans="3:13" ht="11.25" customHeight="1">
      <c r="C23" s="256" t="s">
        <v>289</v>
      </c>
      <c r="D23" s="256"/>
      <c r="E23" s="256"/>
      <c r="F23" s="256"/>
      <c r="G23" s="258" t="s">
        <v>594</v>
      </c>
      <c r="H23" s="258"/>
      <c r="I23" s="258"/>
      <c r="J23" s="258"/>
      <c r="K23" s="258"/>
      <c r="L23" s="258"/>
      <c r="M23" s="258"/>
    </row>
    <row r="24" spans="3:13" ht="10.5">
      <c r="C24" s="255"/>
      <c r="D24" s="255"/>
      <c r="E24" s="255"/>
      <c r="F24" s="255"/>
      <c r="G24" s="258"/>
      <c r="H24" s="258"/>
      <c r="I24" s="258"/>
      <c r="J24" s="258"/>
      <c r="K24" s="258"/>
      <c r="L24" s="258"/>
      <c r="M24" s="258"/>
    </row>
    <row r="25" spans="3:13" ht="4.5" customHeight="1">
      <c r="C25" s="259"/>
      <c r="D25" s="259"/>
      <c r="E25" s="259"/>
      <c r="F25" s="259"/>
      <c r="G25" s="167"/>
      <c r="H25" s="167"/>
      <c r="I25" s="167"/>
      <c r="J25" s="167"/>
      <c r="K25" s="167"/>
      <c r="L25" s="167"/>
      <c r="M25" s="167"/>
    </row>
    <row r="26" spans="3:13" ht="11.25" customHeight="1">
      <c r="C26" s="256" t="s">
        <v>214</v>
      </c>
      <c r="D26" s="256"/>
      <c r="E26" s="256"/>
      <c r="F26" s="256"/>
      <c r="G26" s="258" t="s">
        <v>290</v>
      </c>
      <c r="H26" s="258"/>
      <c r="I26" s="258"/>
      <c r="J26" s="258"/>
      <c r="K26" s="258"/>
      <c r="L26" s="258"/>
      <c r="M26" s="258"/>
    </row>
    <row r="27" spans="3:13" ht="11.25" customHeight="1">
      <c r="C27" s="256"/>
      <c r="D27" s="256"/>
      <c r="E27" s="256"/>
      <c r="F27" s="256"/>
      <c r="G27" s="258"/>
      <c r="H27" s="258"/>
      <c r="I27" s="258"/>
      <c r="J27" s="258"/>
      <c r="K27" s="258"/>
      <c r="L27" s="258"/>
      <c r="M27" s="258"/>
    </row>
    <row r="28" spans="3:13" ht="11.25" customHeight="1">
      <c r="C28" s="256"/>
      <c r="D28" s="256"/>
      <c r="E28" s="256"/>
      <c r="F28" s="256"/>
      <c r="G28" s="258"/>
      <c r="H28" s="258"/>
      <c r="I28" s="258"/>
      <c r="J28" s="258"/>
      <c r="K28" s="258"/>
      <c r="L28" s="258"/>
      <c r="M28" s="258"/>
    </row>
    <row r="29" spans="3:13" ht="11.25" customHeight="1">
      <c r="C29" s="257"/>
      <c r="D29" s="257"/>
      <c r="E29" s="257"/>
      <c r="F29" s="257"/>
      <c r="G29" s="258"/>
      <c r="H29" s="258"/>
      <c r="I29" s="258"/>
      <c r="J29" s="258"/>
      <c r="K29" s="258"/>
      <c r="L29" s="258"/>
      <c r="M29" s="258"/>
    </row>
    <row r="30" spans="3:13" ht="4.5" customHeight="1">
      <c r="C30" s="255"/>
      <c r="D30" s="255"/>
      <c r="E30" s="255"/>
      <c r="F30" s="255"/>
      <c r="G30" s="168"/>
      <c r="H30" s="168"/>
      <c r="I30" s="168"/>
      <c r="J30" s="168"/>
      <c r="K30" s="168"/>
      <c r="L30" s="168"/>
      <c r="M30" s="168"/>
    </row>
    <row r="31" spans="3:13" ht="10.5">
      <c r="C31" s="256" t="s">
        <v>215</v>
      </c>
      <c r="D31" s="256"/>
      <c r="E31" s="256"/>
      <c r="F31" s="256"/>
      <c r="G31" s="248" t="s">
        <v>216</v>
      </c>
      <c r="H31" s="248"/>
      <c r="I31" s="249" t="s">
        <v>46</v>
      </c>
      <c r="J31" s="249"/>
      <c r="K31" s="249"/>
      <c r="L31" s="249"/>
      <c r="M31" s="249"/>
    </row>
    <row r="32" spans="3:13" ht="10.5">
      <c r="C32" s="255"/>
      <c r="D32" s="255"/>
      <c r="E32" s="255"/>
      <c r="F32" s="255"/>
      <c r="G32" s="248" t="s">
        <v>217</v>
      </c>
      <c r="H32" s="248"/>
      <c r="I32" s="249" t="s">
        <v>589</v>
      </c>
      <c r="J32" s="249"/>
      <c r="K32" s="249"/>
      <c r="L32" s="249"/>
      <c r="M32" s="249"/>
    </row>
    <row r="33" spans="3:13" ht="4.5" customHeight="1">
      <c r="C33" s="255"/>
      <c r="D33" s="255"/>
      <c r="E33" s="255"/>
      <c r="F33" s="255"/>
      <c r="G33" s="168"/>
      <c r="H33" s="168"/>
      <c r="I33" s="168"/>
      <c r="J33" s="168"/>
      <c r="K33" s="168"/>
      <c r="L33" s="168"/>
      <c r="M33" s="168"/>
    </row>
    <row r="34" spans="3:13" ht="10.5">
      <c r="C34" s="255"/>
      <c r="D34" s="255"/>
      <c r="E34" s="255"/>
      <c r="F34" s="255"/>
      <c r="G34" s="248" t="s">
        <v>291</v>
      </c>
      <c r="H34" s="248"/>
      <c r="I34" s="248"/>
      <c r="J34" s="248"/>
      <c r="K34" s="248"/>
      <c r="L34" s="248"/>
      <c r="M34" s="248"/>
    </row>
    <row r="35" spans="3:13" ht="4.5" customHeight="1">
      <c r="C35" s="255"/>
      <c r="D35" s="255"/>
      <c r="E35" s="255"/>
      <c r="F35" s="255"/>
      <c r="G35" s="168"/>
      <c r="H35" s="168"/>
      <c r="I35" s="168"/>
      <c r="J35" s="168"/>
      <c r="K35" s="168"/>
      <c r="L35" s="168"/>
      <c r="M35" s="168"/>
    </row>
    <row r="36" spans="3:13" ht="10.5">
      <c r="C36" s="255"/>
      <c r="D36" s="255"/>
      <c r="E36" s="255"/>
      <c r="F36" s="255"/>
      <c r="G36" s="248" t="s">
        <v>218</v>
      </c>
      <c r="H36" s="248"/>
      <c r="I36" s="249" t="s">
        <v>595</v>
      </c>
      <c r="J36" s="249"/>
      <c r="K36" s="249"/>
      <c r="L36" s="249"/>
      <c r="M36" s="249"/>
    </row>
    <row r="37" spans="3:13" ht="4.5" customHeight="1">
      <c r="C37" s="16"/>
      <c r="D37" s="16"/>
      <c r="E37" s="16"/>
      <c r="F37" s="16"/>
      <c r="G37" s="16"/>
      <c r="H37" s="16"/>
      <c r="I37" s="16"/>
      <c r="J37" s="16"/>
      <c r="K37" s="16"/>
      <c r="L37" s="16"/>
      <c r="M37" s="16"/>
    </row>
  </sheetData>
  <sheetProtection/>
  <mergeCells count="45">
    <mergeCell ref="G15:M15"/>
    <mergeCell ref="G16:M16"/>
    <mergeCell ref="G17:M17"/>
    <mergeCell ref="G9:M11"/>
    <mergeCell ref="G13:M13"/>
    <mergeCell ref="B3:F3"/>
    <mergeCell ref="C20:F20"/>
    <mergeCell ref="C21:F21"/>
    <mergeCell ref="G19:M19"/>
    <mergeCell ref="C9:F9"/>
    <mergeCell ref="C10:F10"/>
    <mergeCell ref="C11:F11"/>
    <mergeCell ref="C12:F12"/>
    <mergeCell ref="C13:F13"/>
    <mergeCell ref="C14:F14"/>
    <mergeCell ref="C15:F15"/>
    <mergeCell ref="C16:F16"/>
    <mergeCell ref="C17:F17"/>
    <mergeCell ref="C18:F18"/>
    <mergeCell ref="C19:F19"/>
    <mergeCell ref="G21:M21"/>
    <mergeCell ref="C30:F30"/>
    <mergeCell ref="C22:F22"/>
    <mergeCell ref="C23:F23"/>
    <mergeCell ref="C24:F24"/>
    <mergeCell ref="C25:F25"/>
    <mergeCell ref="G23:M24"/>
    <mergeCell ref="G26:M29"/>
    <mergeCell ref="C26:F26"/>
    <mergeCell ref="C27:F27"/>
    <mergeCell ref="C28:F28"/>
    <mergeCell ref="C29:F29"/>
    <mergeCell ref="C35:F35"/>
    <mergeCell ref="C36:F36"/>
    <mergeCell ref="C31:F31"/>
    <mergeCell ref="C32:F32"/>
    <mergeCell ref="C33:F33"/>
    <mergeCell ref="C34:F34"/>
    <mergeCell ref="G34:M34"/>
    <mergeCell ref="I36:M36"/>
    <mergeCell ref="G36:H36"/>
    <mergeCell ref="G31:H31"/>
    <mergeCell ref="G32:H32"/>
    <mergeCell ref="I31:M31"/>
    <mergeCell ref="I32:M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5" width="3.83203125" style="0" customWidth="1"/>
  </cols>
  <sheetData>
    <row r="1" ht="18">
      <c r="B1" s="1" t="s">
        <v>300</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4" t="s">
        <v>108</v>
      </c>
      <c r="N9" s="264"/>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1" t="s">
        <v>573</v>
      </c>
      <c r="E13" s="261"/>
      <c r="F13" s="261"/>
      <c r="G13" s="261"/>
      <c r="H13" s="261" t="s">
        <v>574</v>
      </c>
      <c r="I13" s="261"/>
      <c r="J13" s="261"/>
      <c r="K13" s="261"/>
      <c r="L13" s="261"/>
      <c r="M13" s="272" t="s">
        <v>573</v>
      </c>
      <c r="N13" s="272"/>
    </row>
    <row r="14" spans="1:6" ht="4.5" customHeight="1">
      <c r="A14" s="10"/>
      <c r="B14" s="11"/>
      <c r="C14" s="12"/>
      <c r="D14" s="192"/>
      <c r="E14" s="192"/>
      <c r="F14" s="13"/>
    </row>
    <row r="15" spans="1:14" ht="12.75">
      <c r="A15" s="10"/>
      <c r="B15" s="11"/>
      <c r="C15" s="12"/>
      <c r="D15" s="261" t="s">
        <v>575</v>
      </c>
      <c r="E15" s="261"/>
      <c r="F15" s="261"/>
      <c r="G15" s="261"/>
      <c r="H15" s="261" t="s">
        <v>576</v>
      </c>
      <c r="I15" s="261"/>
      <c r="J15" s="261"/>
      <c r="K15" s="261"/>
      <c r="L15" s="261"/>
      <c r="M15" s="274" t="s">
        <v>575</v>
      </c>
      <c r="N15" s="274"/>
    </row>
    <row r="16" spans="1:6" ht="4.5" customHeight="1">
      <c r="A16" s="10"/>
      <c r="B16" s="11"/>
      <c r="C16" s="12"/>
      <c r="D16" s="192"/>
      <c r="E16" s="192"/>
      <c r="F16" s="13"/>
    </row>
    <row r="17" spans="1:14" ht="12.75">
      <c r="A17" s="10"/>
      <c r="B17" s="11"/>
      <c r="C17" s="12"/>
      <c r="D17" s="261" t="s">
        <v>577</v>
      </c>
      <c r="E17" s="261"/>
      <c r="F17" s="261"/>
      <c r="G17" s="261"/>
      <c r="H17" s="261" t="s">
        <v>578</v>
      </c>
      <c r="I17" s="261"/>
      <c r="J17" s="261"/>
      <c r="K17" s="261"/>
      <c r="L17" s="261"/>
      <c r="M17" s="275" t="s">
        <v>577</v>
      </c>
      <c r="N17" s="275"/>
    </row>
    <row r="18" spans="1:12" ht="12.75">
      <c r="A18" s="10"/>
      <c r="B18" s="11"/>
      <c r="C18" s="12"/>
      <c r="D18" s="261"/>
      <c r="E18" s="261"/>
      <c r="F18" s="261"/>
      <c r="G18" s="261"/>
      <c r="H18" s="261"/>
      <c r="I18" s="261"/>
      <c r="J18" s="261"/>
      <c r="K18" s="261"/>
      <c r="L18" s="261"/>
    </row>
    <row r="19" spans="1:6" ht="4.5" customHeight="1">
      <c r="A19" s="10"/>
      <c r="B19" s="11"/>
      <c r="C19" s="12"/>
      <c r="D19" s="192"/>
      <c r="E19" s="192"/>
      <c r="F19" s="13"/>
    </row>
    <row r="20" spans="1:14" ht="12.75">
      <c r="A20" s="10"/>
      <c r="B20" s="11"/>
      <c r="C20" s="12"/>
      <c r="D20" s="261" t="s">
        <v>227</v>
      </c>
      <c r="E20" s="261"/>
      <c r="F20" s="261"/>
      <c r="G20" s="261"/>
      <c r="H20" s="261" t="s">
        <v>579</v>
      </c>
      <c r="I20" s="261"/>
      <c r="J20" s="261"/>
      <c r="K20" s="261"/>
      <c r="L20" s="261"/>
      <c r="M20" s="265" t="s">
        <v>227</v>
      </c>
      <c r="N20" s="265"/>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1" t="s">
        <v>109</v>
      </c>
      <c r="E23" s="261"/>
      <c r="F23" s="261"/>
      <c r="G23" s="261"/>
      <c r="H23" s="261" t="s">
        <v>580</v>
      </c>
      <c r="I23" s="261"/>
      <c r="J23" s="261"/>
      <c r="K23" s="261"/>
      <c r="L23" s="261"/>
      <c r="M23" s="263" t="s">
        <v>109</v>
      </c>
      <c r="N23" s="263"/>
    </row>
    <row r="24" spans="1:12" ht="12.75">
      <c r="A24" s="10"/>
      <c r="B24" s="11"/>
      <c r="C24" s="12"/>
      <c r="D24" s="261"/>
      <c r="E24" s="261"/>
      <c r="F24" s="261"/>
      <c r="G24" s="261"/>
      <c r="H24" s="261"/>
      <c r="I24" s="261"/>
      <c r="J24" s="261"/>
      <c r="K24" s="261"/>
      <c r="L24" s="261"/>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1" t="s">
        <v>581</v>
      </c>
      <c r="E28" s="261"/>
      <c r="F28" s="261"/>
      <c r="G28" s="261"/>
      <c r="H28" s="261" t="s">
        <v>582</v>
      </c>
      <c r="I28" s="261"/>
      <c r="J28" s="261"/>
      <c r="K28" s="261"/>
      <c r="L28" s="261"/>
      <c r="M28" s="268"/>
      <c r="N28" s="269"/>
    </row>
    <row r="29" spans="1:6" ht="4.5" customHeight="1">
      <c r="A29" s="10"/>
      <c r="B29" s="11"/>
      <c r="C29" s="12"/>
      <c r="D29" s="192"/>
      <c r="E29" s="192"/>
      <c r="F29" s="13"/>
    </row>
    <row r="30" spans="1:14" ht="12.75">
      <c r="A30" s="10"/>
      <c r="B30" s="11"/>
      <c r="C30" s="12"/>
      <c r="D30" s="261" t="s">
        <v>583</v>
      </c>
      <c r="E30" s="261"/>
      <c r="F30" s="261"/>
      <c r="G30" s="261"/>
      <c r="H30" s="261" t="s">
        <v>584</v>
      </c>
      <c r="I30" s="261"/>
      <c r="J30" s="261"/>
      <c r="K30" s="261"/>
      <c r="L30" s="261"/>
      <c r="M30" s="270"/>
      <c r="N30" s="271"/>
    </row>
    <row r="31" spans="1:12" ht="12.75">
      <c r="A31" s="10"/>
      <c r="B31" s="11"/>
      <c r="C31" s="12"/>
      <c r="D31" s="261"/>
      <c r="E31" s="261"/>
      <c r="F31" s="261"/>
      <c r="G31" s="261"/>
      <c r="H31" s="261"/>
      <c r="I31" s="261"/>
      <c r="J31" s="261"/>
      <c r="K31" s="261"/>
      <c r="L31" s="261"/>
    </row>
    <row r="32" spans="1:6" ht="4.5" customHeight="1">
      <c r="A32" s="10"/>
      <c r="B32" s="11"/>
      <c r="C32" s="12"/>
      <c r="D32" s="192"/>
      <c r="E32" s="192"/>
      <c r="F32" s="13"/>
    </row>
    <row r="33" spans="1:14" ht="12.75">
      <c r="A33" s="10"/>
      <c r="B33" s="11"/>
      <c r="C33" s="12"/>
      <c r="D33" s="261" t="s">
        <v>585</v>
      </c>
      <c r="E33" s="261"/>
      <c r="F33" s="261"/>
      <c r="G33" s="261"/>
      <c r="H33" s="261" t="s">
        <v>586</v>
      </c>
      <c r="I33" s="261"/>
      <c r="J33" s="261"/>
      <c r="K33" s="261"/>
      <c r="L33" s="261"/>
      <c r="M33" s="266"/>
      <c r="N33" s="267"/>
    </row>
    <row r="34" spans="1:12" ht="12.75">
      <c r="A34" s="10"/>
      <c r="B34" s="11"/>
      <c r="C34" s="12"/>
      <c r="D34" s="261"/>
      <c r="E34" s="261"/>
      <c r="F34" s="261"/>
      <c r="G34" s="261"/>
      <c r="H34" s="261"/>
      <c r="I34" s="261"/>
      <c r="J34" s="261"/>
      <c r="K34" s="261"/>
      <c r="L34" s="261"/>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4" t="s">
        <v>108</v>
      </c>
      <c r="N38" s="264"/>
    </row>
    <row r="39" spans="1:6" ht="4.5" customHeight="1">
      <c r="A39" s="10"/>
      <c r="B39" s="11"/>
      <c r="C39" s="12"/>
      <c r="D39" s="192"/>
      <c r="E39" s="192"/>
      <c r="F39" s="13"/>
    </row>
    <row r="40" spans="1:14" ht="12.75">
      <c r="A40" s="10"/>
      <c r="B40" s="11"/>
      <c r="C40" s="12"/>
      <c r="D40" s="261" t="s">
        <v>112</v>
      </c>
      <c r="E40" s="261"/>
      <c r="F40" s="261"/>
      <c r="G40" s="261"/>
      <c r="H40" s="261" t="s">
        <v>113</v>
      </c>
      <c r="I40" s="261"/>
      <c r="J40" s="261"/>
      <c r="K40" s="261"/>
      <c r="L40" s="261"/>
      <c r="M40" s="263" t="s">
        <v>303</v>
      </c>
      <c r="N40" s="263"/>
    </row>
    <row r="41" spans="1:6" ht="4.5" customHeight="1">
      <c r="A41" s="10"/>
      <c r="B41" s="11"/>
      <c r="C41" s="12"/>
      <c r="D41" s="192"/>
      <c r="E41" s="192"/>
      <c r="F41" s="13"/>
    </row>
    <row r="42" spans="1:14" ht="12.75">
      <c r="A42" s="10"/>
      <c r="B42" s="11"/>
      <c r="C42" s="12"/>
      <c r="D42" s="261" t="s">
        <v>114</v>
      </c>
      <c r="E42" s="261"/>
      <c r="F42" s="261"/>
      <c r="G42" s="261"/>
      <c r="H42" s="261" t="s">
        <v>115</v>
      </c>
      <c r="I42" s="261"/>
      <c r="J42" s="261"/>
      <c r="K42" s="261"/>
      <c r="L42" s="261"/>
      <c r="M42" s="263" t="s">
        <v>304</v>
      </c>
      <c r="N42" s="263"/>
    </row>
    <row r="43" spans="1:6" ht="4.5" customHeight="1">
      <c r="A43" s="10"/>
      <c r="B43" s="11"/>
      <c r="C43" s="12"/>
      <c r="D43" s="192"/>
      <c r="E43" s="192"/>
      <c r="F43" s="13"/>
    </row>
    <row r="44" spans="1:14" ht="12.75">
      <c r="A44" s="10"/>
      <c r="B44" s="11"/>
      <c r="C44" s="12"/>
      <c r="D44" s="261" t="s">
        <v>116</v>
      </c>
      <c r="E44" s="261"/>
      <c r="F44" s="261"/>
      <c r="G44" s="261"/>
      <c r="H44" s="261" t="s">
        <v>117</v>
      </c>
      <c r="I44" s="261"/>
      <c r="J44" s="261"/>
      <c r="K44" s="261"/>
      <c r="L44" s="261"/>
      <c r="M44" s="263" t="s">
        <v>118</v>
      </c>
      <c r="N44" s="263"/>
    </row>
    <row r="45" spans="1:6" ht="4.5" customHeight="1">
      <c r="A45" s="10"/>
      <c r="B45" s="11"/>
      <c r="C45" s="12"/>
      <c r="D45" s="192"/>
      <c r="E45" s="192"/>
      <c r="F45" s="13"/>
    </row>
    <row r="46" spans="1:14" ht="12.75">
      <c r="A46" s="10"/>
      <c r="B46" s="11"/>
      <c r="C46" s="12"/>
      <c r="D46" s="261" t="s">
        <v>119</v>
      </c>
      <c r="E46" s="261"/>
      <c r="F46" s="261"/>
      <c r="G46" s="261"/>
      <c r="H46" s="261" t="s">
        <v>120</v>
      </c>
      <c r="I46" s="261"/>
      <c r="J46" s="261"/>
      <c r="K46" s="261"/>
      <c r="L46" s="261"/>
      <c r="M46" s="262" t="s">
        <v>51</v>
      </c>
      <c r="N46" s="262"/>
    </row>
    <row r="47" spans="1:6" ht="4.5" customHeight="1">
      <c r="A47" s="10"/>
      <c r="B47" s="11"/>
      <c r="C47" s="12"/>
      <c r="D47" s="192"/>
      <c r="E47" s="192"/>
      <c r="F47" s="13"/>
    </row>
    <row r="48" spans="1:14" ht="12.75">
      <c r="A48" s="10"/>
      <c r="B48" s="11"/>
      <c r="C48" s="12"/>
      <c r="D48" s="261" t="s">
        <v>121</v>
      </c>
      <c r="E48" s="261"/>
      <c r="F48" s="261"/>
      <c r="G48" s="261"/>
      <c r="H48" s="261" t="s">
        <v>122</v>
      </c>
      <c r="I48" s="261"/>
      <c r="J48" s="261"/>
      <c r="K48" s="261"/>
      <c r="L48" s="261"/>
      <c r="M48" s="262" t="s">
        <v>53</v>
      </c>
      <c r="N48" s="262"/>
    </row>
    <row r="49" spans="1:6" ht="4.5" customHeight="1">
      <c r="A49" s="10"/>
      <c r="B49" s="11"/>
      <c r="C49" s="12"/>
      <c r="D49" s="192"/>
      <c r="E49" s="192"/>
      <c r="F49" s="13"/>
    </row>
    <row r="50" spans="1:14" ht="12.75">
      <c r="A50" s="10"/>
      <c r="B50" s="11"/>
      <c r="C50" s="12"/>
      <c r="D50" s="261" t="s">
        <v>123</v>
      </c>
      <c r="E50" s="261"/>
      <c r="F50" s="261"/>
      <c r="G50" s="261"/>
      <c r="H50" s="261" t="s">
        <v>305</v>
      </c>
      <c r="I50" s="261"/>
      <c r="J50" s="261"/>
      <c r="K50" s="261"/>
      <c r="L50" s="261"/>
      <c r="M50" s="262" t="s">
        <v>102</v>
      </c>
      <c r="N50" s="262"/>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4" t="s">
        <v>307</v>
      </c>
      <c r="N56" s="264"/>
    </row>
    <row r="57" spans="1:6" ht="4.5" customHeight="1">
      <c r="A57" s="10"/>
      <c r="B57" s="11"/>
      <c r="C57" s="12"/>
      <c r="D57" s="192"/>
      <c r="E57" s="192"/>
      <c r="F57" s="13"/>
    </row>
    <row r="58" spans="1:14" ht="12.75">
      <c r="A58" s="10"/>
      <c r="B58" s="11"/>
      <c r="C58" s="12"/>
      <c r="D58" s="261" t="s">
        <v>308</v>
      </c>
      <c r="E58" s="261"/>
      <c r="F58" s="261"/>
      <c r="G58" s="261"/>
      <c r="H58" s="261" t="s">
        <v>126</v>
      </c>
      <c r="I58" s="261"/>
      <c r="J58" s="261"/>
      <c r="K58" s="261"/>
      <c r="L58" s="261"/>
      <c r="M58" s="273" t="s">
        <v>309</v>
      </c>
      <c r="N58" s="273"/>
    </row>
    <row r="59" spans="1:6" ht="4.5" customHeight="1">
      <c r="A59" s="10"/>
      <c r="B59" s="11"/>
      <c r="C59" s="12"/>
      <c r="D59" s="192"/>
      <c r="E59" s="192"/>
      <c r="F59" s="13"/>
    </row>
    <row r="60" spans="1:14" ht="12.75">
      <c r="A60" s="10"/>
      <c r="B60" s="11"/>
      <c r="C60" s="12"/>
      <c r="D60" s="261" t="s">
        <v>131</v>
      </c>
      <c r="E60" s="261"/>
      <c r="F60" s="261"/>
      <c r="G60" s="261"/>
      <c r="H60" s="261" t="s">
        <v>132</v>
      </c>
      <c r="I60" s="261"/>
      <c r="J60" s="261"/>
      <c r="K60" s="261"/>
      <c r="L60" s="261"/>
      <c r="M60" s="273" t="s">
        <v>133</v>
      </c>
      <c r="N60" s="27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1" t="s">
        <v>127</v>
      </c>
      <c r="E63" s="261"/>
      <c r="F63" s="261"/>
      <c r="G63" s="261"/>
      <c r="H63" s="261" t="s">
        <v>128</v>
      </c>
      <c r="I63" s="261"/>
      <c r="J63" s="261"/>
      <c r="K63" s="261"/>
      <c r="L63" s="261"/>
      <c r="M63" s="273" t="s">
        <v>103</v>
      </c>
      <c r="N63" s="273"/>
    </row>
    <row r="64" spans="1:6" ht="4.5" customHeight="1">
      <c r="A64" s="10"/>
      <c r="B64" s="11"/>
      <c r="C64" s="12"/>
      <c r="D64" s="192"/>
      <c r="E64" s="192"/>
      <c r="F64" s="13"/>
    </row>
    <row r="65" spans="1:14" ht="12.75">
      <c r="A65" s="10"/>
      <c r="B65" s="11"/>
      <c r="C65" s="12"/>
      <c r="D65" s="261" t="s">
        <v>129</v>
      </c>
      <c r="E65" s="261"/>
      <c r="F65" s="261"/>
      <c r="G65" s="261"/>
      <c r="H65" s="261" t="s">
        <v>130</v>
      </c>
      <c r="I65" s="261"/>
      <c r="J65" s="261"/>
      <c r="K65" s="261"/>
      <c r="L65" s="261"/>
      <c r="M65" s="273" t="s">
        <v>104</v>
      </c>
      <c r="N65" s="27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1" t="s">
        <v>310</v>
      </c>
      <c r="E68" s="261"/>
      <c r="F68" s="261"/>
      <c r="G68" s="261"/>
      <c r="H68" s="261" t="s">
        <v>137</v>
      </c>
      <c r="I68" s="261"/>
      <c r="J68" s="261"/>
      <c r="K68" s="261"/>
      <c r="L68" s="261"/>
      <c r="M68" s="273" t="s">
        <v>138</v>
      </c>
      <c r="N68" s="273"/>
    </row>
    <row r="69" spans="1:6" ht="4.5" customHeight="1">
      <c r="A69" s="10"/>
      <c r="B69" s="11"/>
      <c r="C69" s="12"/>
      <c r="D69" s="192"/>
      <c r="E69" s="192"/>
      <c r="F69" s="13"/>
    </row>
    <row r="70" spans="1:14" ht="12.75">
      <c r="A70" s="10"/>
      <c r="B70" s="11"/>
      <c r="C70" s="12"/>
      <c r="D70" s="261" t="s">
        <v>311</v>
      </c>
      <c r="E70" s="261"/>
      <c r="F70" s="261"/>
      <c r="G70" s="261"/>
      <c r="H70" s="261" t="s">
        <v>312</v>
      </c>
      <c r="I70" s="261"/>
      <c r="J70" s="261"/>
      <c r="K70" s="261"/>
      <c r="L70" s="261"/>
      <c r="M70" s="273" t="s">
        <v>313</v>
      </c>
      <c r="N70" s="273"/>
    </row>
    <row r="71" spans="1:12" ht="12.75">
      <c r="A71" s="10"/>
      <c r="B71" s="11"/>
      <c r="C71" s="12"/>
      <c r="D71" s="261"/>
      <c r="E71" s="261"/>
      <c r="F71" s="261"/>
      <c r="G71" s="261"/>
      <c r="H71" s="261"/>
      <c r="I71" s="261"/>
      <c r="J71" s="261"/>
      <c r="K71" s="261"/>
      <c r="L71" s="261"/>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1" t="s">
        <v>139</v>
      </c>
      <c r="E74" s="261"/>
      <c r="F74" s="261"/>
      <c r="G74" s="261"/>
      <c r="H74" s="261" t="s">
        <v>140</v>
      </c>
      <c r="I74" s="261"/>
      <c r="J74" s="261"/>
      <c r="K74" s="261"/>
      <c r="L74" s="261"/>
      <c r="M74" s="273" t="s">
        <v>601</v>
      </c>
      <c r="N74" s="273"/>
    </row>
    <row r="75" spans="1:6" ht="4.5" customHeight="1">
      <c r="A75" s="10"/>
      <c r="B75" s="11"/>
      <c r="C75" s="12"/>
      <c r="D75" s="192"/>
      <c r="E75" s="192"/>
      <c r="F75" s="13"/>
    </row>
    <row r="76" spans="1:14" ht="12.75">
      <c r="A76" s="10"/>
      <c r="B76" s="11"/>
      <c r="C76" s="12"/>
      <c r="D76" s="261" t="s">
        <v>314</v>
      </c>
      <c r="E76" s="261"/>
      <c r="F76" s="261"/>
      <c r="G76" s="261"/>
      <c r="H76" s="261" t="s">
        <v>315</v>
      </c>
      <c r="I76" s="261"/>
      <c r="J76" s="261"/>
      <c r="K76" s="261"/>
      <c r="L76" s="261"/>
      <c r="M76" s="273" t="s">
        <v>316</v>
      </c>
      <c r="N76" s="273"/>
    </row>
    <row r="77" spans="1:12" ht="12.75">
      <c r="A77" s="10"/>
      <c r="B77" s="11"/>
      <c r="C77" s="12"/>
      <c r="D77" s="261"/>
      <c r="E77" s="261"/>
      <c r="F77" s="261"/>
      <c r="G77" s="261"/>
      <c r="H77" s="261"/>
      <c r="I77" s="261"/>
      <c r="J77" s="261"/>
      <c r="K77" s="261"/>
      <c r="L77" s="261"/>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1" t="s">
        <v>317</v>
      </c>
      <c r="E80" s="261"/>
      <c r="F80" s="261"/>
      <c r="G80" s="261"/>
      <c r="H80" s="261" t="s">
        <v>318</v>
      </c>
      <c r="I80" s="261"/>
      <c r="J80" s="261"/>
      <c r="K80" s="261"/>
      <c r="L80" s="261"/>
      <c r="M80" s="273" t="s">
        <v>319</v>
      </c>
      <c r="N80" s="273"/>
    </row>
    <row r="81" spans="1:12" ht="12.75">
      <c r="A81" s="10"/>
      <c r="B81" s="11"/>
      <c r="C81" s="12"/>
      <c r="D81" s="261"/>
      <c r="E81" s="261"/>
      <c r="F81" s="261"/>
      <c r="G81" s="261"/>
      <c r="H81" s="261"/>
      <c r="I81" s="261"/>
      <c r="J81" s="261"/>
      <c r="K81" s="261"/>
      <c r="L81" s="261"/>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1" t="s">
        <v>134</v>
      </c>
      <c r="E84" s="261"/>
      <c r="F84" s="261"/>
      <c r="G84" s="261"/>
      <c r="H84" s="261" t="s">
        <v>135</v>
      </c>
      <c r="I84" s="261"/>
      <c r="J84" s="261"/>
      <c r="K84" s="261"/>
      <c r="L84" s="261"/>
      <c r="M84" s="273" t="s">
        <v>136</v>
      </c>
      <c r="N84" s="27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1" t="s">
        <v>141</v>
      </c>
      <c r="E87" s="261"/>
      <c r="F87" s="261"/>
      <c r="G87" s="261"/>
      <c r="H87" s="261" t="s">
        <v>142</v>
      </c>
      <c r="I87" s="261"/>
      <c r="J87" s="261"/>
      <c r="K87" s="261"/>
      <c r="L87" s="261"/>
      <c r="M87" s="273" t="s">
        <v>143</v>
      </c>
      <c r="N87" s="27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1" t="s">
        <v>144</v>
      </c>
      <c r="E90" s="261"/>
      <c r="F90" s="261"/>
      <c r="G90" s="261"/>
      <c r="H90" s="261" t="s">
        <v>320</v>
      </c>
      <c r="I90" s="261"/>
      <c r="J90" s="261"/>
      <c r="K90" s="261"/>
      <c r="L90" s="261"/>
      <c r="M90" s="273" t="s">
        <v>145</v>
      </c>
      <c r="N90" s="273"/>
    </row>
    <row r="91" spans="1:12" ht="12.75">
      <c r="A91" s="10"/>
      <c r="B91" s="11"/>
      <c r="C91" s="12"/>
      <c r="D91" s="261"/>
      <c r="E91" s="261"/>
      <c r="F91" s="261"/>
      <c r="G91" s="261"/>
      <c r="H91" s="261"/>
      <c r="I91" s="261"/>
      <c r="J91" s="261"/>
      <c r="K91" s="261"/>
      <c r="L91" s="261"/>
    </row>
    <row r="92" spans="1:6" ht="4.5" customHeight="1">
      <c r="A92" s="10"/>
      <c r="B92" s="11"/>
      <c r="C92" s="12"/>
      <c r="D92" s="192"/>
      <c r="E92" s="192"/>
      <c r="F92" s="13"/>
    </row>
    <row r="93" spans="1:14" ht="12.75">
      <c r="A93" s="10"/>
      <c r="B93" s="11"/>
      <c r="C93" s="12"/>
      <c r="D93" s="261" t="s">
        <v>146</v>
      </c>
      <c r="E93" s="261"/>
      <c r="F93" s="261"/>
      <c r="G93" s="261"/>
      <c r="H93" s="261" t="s">
        <v>321</v>
      </c>
      <c r="I93" s="261"/>
      <c r="J93" s="261"/>
      <c r="K93" s="261"/>
      <c r="L93" s="261"/>
      <c r="M93" s="273" t="s">
        <v>147</v>
      </c>
      <c r="N93" s="273"/>
    </row>
    <row r="94" spans="1:12" ht="12.75">
      <c r="A94" s="10"/>
      <c r="B94" s="11"/>
      <c r="C94" s="12"/>
      <c r="D94" s="261"/>
      <c r="E94" s="261"/>
      <c r="F94" s="261"/>
      <c r="G94" s="261"/>
      <c r="H94" s="261"/>
      <c r="I94" s="261"/>
      <c r="J94" s="261"/>
      <c r="K94" s="261"/>
      <c r="L94" s="261"/>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1" t="s">
        <v>597</v>
      </c>
      <c r="E97" s="261"/>
      <c r="F97" s="261"/>
      <c r="G97" s="261"/>
      <c r="H97" s="261" t="s">
        <v>598</v>
      </c>
      <c r="I97" s="261"/>
      <c r="J97" s="261"/>
      <c r="K97" s="261"/>
      <c r="L97" s="261"/>
      <c r="M97" s="273" t="s">
        <v>599</v>
      </c>
      <c r="N97" s="273"/>
    </row>
    <row r="98" spans="1:12" ht="12.75">
      <c r="A98" s="10"/>
      <c r="B98" s="11"/>
      <c r="C98" s="12"/>
      <c r="D98" s="261"/>
      <c r="E98" s="261"/>
      <c r="F98" s="261"/>
      <c r="G98" s="261"/>
      <c r="H98" s="261"/>
      <c r="I98" s="261"/>
      <c r="J98" s="261"/>
      <c r="K98" s="261"/>
      <c r="L98" s="261"/>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4" t="s">
        <v>151</v>
      </c>
      <c r="N108" s="264"/>
    </row>
    <row r="109" spans="1:6" ht="4.5" customHeight="1">
      <c r="A109" s="10"/>
      <c r="B109" s="11"/>
      <c r="C109" s="12"/>
      <c r="D109" s="192"/>
      <c r="E109" s="192"/>
      <c r="F109" s="13"/>
    </row>
    <row r="110" spans="1:14" ht="12.75">
      <c r="A110" s="10"/>
      <c r="B110" s="11"/>
      <c r="C110" s="12"/>
      <c r="D110" s="277" t="s">
        <v>152</v>
      </c>
      <c r="E110" s="277"/>
      <c r="F110" s="277"/>
      <c r="G110" s="277"/>
      <c r="H110" s="277" t="s">
        <v>153</v>
      </c>
      <c r="I110" s="277"/>
      <c r="J110" s="277"/>
      <c r="K110" s="277"/>
      <c r="L110" s="277"/>
      <c r="M110" s="276" t="s">
        <v>154</v>
      </c>
      <c r="N110" s="276"/>
    </row>
    <row r="111" spans="1:6" ht="4.5" customHeight="1">
      <c r="A111" s="10"/>
      <c r="B111" s="11"/>
      <c r="C111" s="12"/>
      <c r="D111" s="192"/>
      <c r="E111" s="192"/>
      <c r="F111" s="13"/>
    </row>
    <row r="112" spans="1:14" ht="12.75">
      <c r="A112" s="10"/>
      <c r="B112" s="11"/>
      <c r="C112" s="12"/>
      <c r="D112" s="277" t="s">
        <v>155</v>
      </c>
      <c r="E112" s="277"/>
      <c r="F112" s="277"/>
      <c r="G112" s="277"/>
      <c r="H112" s="277" t="s">
        <v>156</v>
      </c>
      <c r="I112" s="277"/>
      <c r="J112" s="277"/>
      <c r="K112" s="277"/>
      <c r="L112" s="277"/>
      <c r="M112" s="276" t="s">
        <v>157</v>
      </c>
      <c r="N112" s="276"/>
    </row>
    <row r="113" spans="1:6" ht="4.5" customHeight="1">
      <c r="A113" s="10"/>
      <c r="B113" s="11"/>
      <c r="C113" s="12"/>
      <c r="D113" s="192"/>
      <c r="E113" s="192"/>
      <c r="F113" s="13"/>
    </row>
    <row r="114" spans="1:14" ht="12.75">
      <c r="A114" s="10"/>
      <c r="B114" s="11"/>
      <c r="C114" s="12"/>
      <c r="D114" s="277" t="s">
        <v>158</v>
      </c>
      <c r="E114" s="277"/>
      <c r="F114" s="277"/>
      <c r="G114" s="277"/>
      <c r="H114" s="277" t="s">
        <v>159</v>
      </c>
      <c r="I114" s="277"/>
      <c r="J114" s="277"/>
      <c r="K114" s="277"/>
      <c r="L114" s="277"/>
      <c r="M114" s="276" t="s">
        <v>160</v>
      </c>
      <c r="N114" s="276"/>
    </row>
    <row r="115" spans="1:6" ht="4.5" customHeight="1">
      <c r="A115" s="10"/>
      <c r="B115" s="11"/>
      <c r="C115" s="12"/>
      <c r="D115" s="192"/>
      <c r="E115" s="192"/>
      <c r="F115" s="13"/>
    </row>
    <row r="116" spans="1:14" ht="12.75">
      <c r="A116" s="10"/>
      <c r="B116" s="11"/>
      <c r="C116" s="12"/>
      <c r="D116" s="277" t="s">
        <v>161</v>
      </c>
      <c r="E116" s="277"/>
      <c r="F116" s="277"/>
      <c r="G116" s="277"/>
      <c r="H116" s="277" t="s">
        <v>162</v>
      </c>
      <c r="I116" s="277"/>
      <c r="J116" s="277"/>
      <c r="K116" s="277"/>
      <c r="L116" s="277"/>
      <c r="M116" s="276" t="s">
        <v>163</v>
      </c>
      <c r="N116" s="276"/>
    </row>
    <row r="117" spans="1:6" ht="4.5" customHeight="1">
      <c r="A117" s="10"/>
      <c r="B117" s="11"/>
      <c r="C117" s="12"/>
      <c r="D117" s="192"/>
      <c r="E117" s="192"/>
      <c r="F117" s="13"/>
    </row>
    <row r="118" spans="1:14" ht="12.75">
      <c r="A118" s="10"/>
      <c r="B118" s="11"/>
      <c r="C118" s="12"/>
      <c r="D118" s="277" t="s">
        <v>164</v>
      </c>
      <c r="E118" s="277"/>
      <c r="F118" s="277"/>
      <c r="G118" s="277"/>
      <c r="H118" s="277" t="s">
        <v>165</v>
      </c>
      <c r="I118" s="277"/>
      <c r="J118" s="277"/>
      <c r="K118" s="277"/>
      <c r="L118" s="277"/>
      <c r="M118" s="276" t="s">
        <v>166</v>
      </c>
      <c r="N118" s="276"/>
    </row>
    <row r="119" spans="1:6" ht="4.5" customHeight="1">
      <c r="A119" s="10"/>
      <c r="B119" s="11"/>
      <c r="C119" s="12"/>
      <c r="D119" s="192"/>
      <c r="E119" s="192"/>
      <c r="F119" s="13"/>
    </row>
    <row r="120" spans="1:14" ht="12.75">
      <c r="A120" s="10"/>
      <c r="B120" s="11"/>
      <c r="C120" s="12"/>
      <c r="D120" s="277" t="s">
        <v>317</v>
      </c>
      <c r="E120" s="277"/>
      <c r="F120" s="277"/>
      <c r="G120" s="277"/>
      <c r="H120" s="277" t="s">
        <v>167</v>
      </c>
      <c r="I120" s="277"/>
      <c r="J120" s="277"/>
      <c r="K120" s="277"/>
      <c r="L120" s="277"/>
      <c r="M120" s="276" t="s">
        <v>168</v>
      </c>
      <c r="N120" s="276"/>
    </row>
    <row r="121" spans="1:6" ht="4.5" customHeight="1">
      <c r="A121" s="10"/>
      <c r="B121" s="11"/>
      <c r="C121" s="12"/>
      <c r="D121" s="192"/>
      <c r="E121" s="192"/>
      <c r="F121" s="13"/>
    </row>
    <row r="122" spans="1:14" ht="12.75">
      <c r="A122" s="10"/>
      <c r="B122" s="11"/>
      <c r="C122" s="12"/>
      <c r="D122" s="277" t="s">
        <v>109</v>
      </c>
      <c r="E122" s="277"/>
      <c r="F122" s="277"/>
      <c r="G122" s="277"/>
      <c r="H122" s="277" t="s">
        <v>169</v>
      </c>
      <c r="I122" s="277"/>
      <c r="J122" s="277"/>
      <c r="K122" s="277"/>
      <c r="L122" s="277"/>
      <c r="M122" s="276" t="s">
        <v>170</v>
      </c>
      <c r="N122" s="276"/>
    </row>
    <row r="123" spans="1:6" ht="4.5" customHeight="1">
      <c r="A123" s="10"/>
      <c r="B123" s="11"/>
      <c r="C123" s="12"/>
      <c r="D123" s="192"/>
      <c r="E123" s="192"/>
      <c r="F123" s="13"/>
    </row>
    <row r="124" spans="1:14" ht="12.75">
      <c r="A124" s="10"/>
      <c r="B124" s="11"/>
      <c r="C124" s="12"/>
      <c r="D124" s="277" t="s">
        <v>323</v>
      </c>
      <c r="E124" s="277"/>
      <c r="F124" s="277"/>
      <c r="G124" s="277"/>
      <c r="H124" s="277" t="s">
        <v>171</v>
      </c>
      <c r="I124" s="277"/>
      <c r="J124" s="277"/>
      <c r="K124" s="277"/>
      <c r="L124" s="277"/>
      <c r="M124" s="276" t="s">
        <v>172</v>
      </c>
      <c r="N124" s="276"/>
    </row>
    <row r="125" spans="1:6" ht="4.5" customHeight="1">
      <c r="A125" s="10"/>
      <c r="B125" s="11"/>
      <c r="C125" s="12"/>
      <c r="D125" s="192"/>
      <c r="E125" s="192"/>
      <c r="F125" s="13"/>
    </row>
    <row r="126" spans="1:14" ht="12.75">
      <c r="A126" s="10"/>
      <c r="B126" s="11"/>
      <c r="C126" s="12"/>
      <c r="D126" s="277" t="s">
        <v>324</v>
      </c>
      <c r="E126" s="277"/>
      <c r="F126" s="277"/>
      <c r="G126" s="277"/>
      <c r="H126" s="277" t="s">
        <v>173</v>
      </c>
      <c r="I126" s="277"/>
      <c r="J126" s="277"/>
      <c r="K126" s="277"/>
      <c r="L126" s="277"/>
      <c r="M126" s="276" t="s">
        <v>174</v>
      </c>
      <c r="N126" s="276"/>
    </row>
    <row r="127" spans="1:6" ht="4.5" customHeight="1">
      <c r="A127" s="10"/>
      <c r="B127" s="11"/>
      <c r="C127" s="12"/>
      <c r="D127" s="192"/>
      <c r="E127" s="192"/>
      <c r="F127" s="13"/>
    </row>
    <row r="128" spans="1:14" ht="12.75">
      <c r="A128" s="10"/>
      <c r="B128" s="11"/>
      <c r="C128" s="12"/>
      <c r="D128" s="277" t="s">
        <v>325</v>
      </c>
      <c r="E128" s="277"/>
      <c r="F128" s="277"/>
      <c r="G128" s="277"/>
      <c r="H128" s="277" t="s">
        <v>175</v>
      </c>
      <c r="I128" s="277"/>
      <c r="J128" s="277"/>
      <c r="K128" s="277"/>
      <c r="L128" s="277"/>
      <c r="M128" s="276" t="s">
        <v>176</v>
      </c>
      <c r="N128" s="276"/>
    </row>
    <row r="129" spans="1:6" ht="4.5" customHeight="1">
      <c r="A129" s="10"/>
      <c r="B129" s="11"/>
      <c r="C129" s="12"/>
      <c r="D129" s="192"/>
      <c r="E129" s="192"/>
      <c r="F129" s="13"/>
    </row>
    <row r="130" spans="1:14" ht="12.75">
      <c r="A130" s="10"/>
      <c r="B130" s="11"/>
      <c r="C130" s="12"/>
      <c r="D130" s="277" t="s">
        <v>326</v>
      </c>
      <c r="E130" s="277"/>
      <c r="F130" s="277"/>
      <c r="G130" s="277"/>
      <c r="H130" s="277" t="s">
        <v>177</v>
      </c>
      <c r="I130" s="277"/>
      <c r="J130" s="277"/>
      <c r="K130" s="277"/>
      <c r="L130" s="277"/>
      <c r="M130" s="276" t="s">
        <v>178</v>
      </c>
      <c r="N130" s="276"/>
    </row>
    <row r="131" spans="1:6" ht="4.5" customHeight="1">
      <c r="A131" s="10"/>
      <c r="B131" s="11"/>
      <c r="C131" s="12"/>
      <c r="D131" s="192"/>
      <c r="E131" s="192"/>
      <c r="F131" s="13"/>
    </row>
    <row r="132" spans="1:14" ht="12.75">
      <c r="A132" s="10"/>
      <c r="B132" s="11"/>
      <c r="C132" s="12"/>
      <c r="D132" s="277" t="s">
        <v>327</v>
      </c>
      <c r="E132" s="277"/>
      <c r="F132" s="277"/>
      <c r="G132" s="277"/>
      <c r="H132" s="277" t="s">
        <v>179</v>
      </c>
      <c r="I132" s="277"/>
      <c r="J132" s="277"/>
      <c r="K132" s="277"/>
      <c r="L132" s="277"/>
      <c r="M132" s="276" t="s">
        <v>180</v>
      </c>
      <c r="N132" s="276"/>
    </row>
    <row r="133" spans="1:6" ht="4.5" customHeight="1">
      <c r="A133" s="10"/>
      <c r="B133" s="11"/>
      <c r="C133" s="12"/>
      <c r="D133" s="192"/>
      <c r="E133" s="192"/>
      <c r="F133" s="13"/>
    </row>
    <row r="134" spans="1:14" ht="12.75">
      <c r="A134" s="10"/>
      <c r="B134" s="11"/>
      <c r="C134" s="12"/>
      <c r="D134" s="277" t="s">
        <v>328</v>
      </c>
      <c r="E134" s="277"/>
      <c r="F134" s="277"/>
      <c r="G134" s="277"/>
      <c r="H134" s="277" t="s">
        <v>181</v>
      </c>
      <c r="I134" s="277"/>
      <c r="J134" s="277"/>
      <c r="K134" s="277"/>
      <c r="L134" s="277"/>
      <c r="M134" s="276" t="s">
        <v>182</v>
      </c>
      <c r="N134" s="276"/>
    </row>
    <row r="135" spans="1:6" ht="4.5" customHeight="1">
      <c r="A135" s="10"/>
      <c r="B135" s="11"/>
      <c r="C135" s="12"/>
      <c r="D135" s="192"/>
      <c r="E135" s="192"/>
      <c r="F135" s="13"/>
    </row>
    <row r="136" spans="1:14" ht="12.75">
      <c r="A136" s="10"/>
      <c r="B136" s="11"/>
      <c r="C136" s="12"/>
      <c r="D136" s="277" t="s">
        <v>183</v>
      </c>
      <c r="E136" s="277"/>
      <c r="F136" s="277"/>
      <c r="G136" s="277"/>
      <c r="H136" s="277" t="s">
        <v>184</v>
      </c>
      <c r="I136" s="277"/>
      <c r="J136" s="277"/>
      <c r="K136" s="277"/>
      <c r="L136" s="277"/>
      <c r="M136" s="276" t="s">
        <v>185</v>
      </c>
      <c r="N136" s="276"/>
    </row>
    <row r="137" spans="1:14" ht="4.5" customHeight="1">
      <c r="A137" s="10"/>
      <c r="B137" s="11"/>
      <c r="C137" s="238"/>
      <c r="D137" s="239"/>
      <c r="E137" s="239"/>
      <c r="F137" s="240"/>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68:G68"/>
    <mergeCell ref="H68:L68"/>
    <mergeCell ref="M68:N68"/>
    <mergeCell ref="D80:G81"/>
    <mergeCell ref="H80:L81"/>
    <mergeCell ref="D60:G60"/>
    <mergeCell ref="H60:L60"/>
    <mergeCell ref="M60:N60"/>
    <mergeCell ref="M65:N65"/>
    <mergeCell ref="D65:G65"/>
    <mergeCell ref="H65:L65"/>
    <mergeCell ref="M38:N38"/>
    <mergeCell ref="D28:G28"/>
    <mergeCell ref="H28:L28"/>
    <mergeCell ref="M70:N70"/>
    <mergeCell ref="D70:G71"/>
    <mergeCell ref="H70:L71"/>
    <mergeCell ref="M56:N56"/>
    <mergeCell ref="D58:G58"/>
    <mergeCell ref="H58:L58"/>
    <mergeCell ref="M58:N58"/>
    <mergeCell ref="M13:N13"/>
    <mergeCell ref="D17:G18"/>
    <mergeCell ref="H17:L18"/>
    <mergeCell ref="D63:G63"/>
    <mergeCell ref="H63:L63"/>
    <mergeCell ref="M63:N63"/>
    <mergeCell ref="D15:G15"/>
    <mergeCell ref="H15:L15"/>
    <mergeCell ref="M15:N15"/>
    <mergeCell ref="M17:N17"/>
    <mergeCell ref="D30:G31"/>
    <mergeCell ref="H30:L31"/>
    <mergeCell ref="D13:G13"/>
    <mergeCell ref="H13:L13"/>
    <mergeCell ref="M20:N20"/>
    <mergeCell ref="M33:N33"/>
    <mergeCell ref="M23:N23"/>
    <mergeCell ref="M28:N28"/>
    <mergeCell ref="M30:N30"/>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20:G20"/>
    <mergeCell ref="H20:L20"/>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1. General Concepts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2010-10-15T02:52:32Z</cp:lastPrinted>
  <dcterms:created xsi:type="dcterms:W3CDTF">2006-03-09T22:44:34Z</dcterms:created>
  <dcterms:modified xsi:type="dcterms:W3CDTF">2010-12-21T06:10:24Z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